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drawings/drawing5.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omments4.xml" ContentType="application/vnd.openxmlformats-officedocument.spreadsheetml.comments+xml"/>
  <Override PartName="/xl/charts/chart6.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80" yWindow="480" windowWidth="15570" windowHeight="10125" tabRatio="601" activeTab="3"/>
  </bookViews>
  <sheets>
    <sheet name="LEGENDE" sheetId="31" r:id="rId1"/>
    <sheet name="OUTPUT--&gt;" sheetId="52" r:id="rId2"/>
    <sheet name="BAU 2020" sheetId="53" r:id="rId3"/>
    <sheet name="MTRG HUISHOUDENS" sheetId="40" r:id="rId4"/>
    <sheet name="MTRG TERTIAIR" sheetId="41" r:id="rId5"/>
    <sheet name="MTRG TRANSPORT" sheetId="42" r:id="rId6"/>
    <sheet name="MTRG LOKALE ENERGIEPRODUCTIE" sheetId="50" r:id="rId7"/>
    <sheet name="INPUT--&gt;" sheetId="35" r:id="rId8"/>
    <sheet name="Nulmeting 2011" sheetId="14" r:id="rId9"/>
    <sheet name="data " sheetId="54" r:id="rId10"/>
    <sheet name="DATA--&gt;" sheetId="44" r:id="rId11"/>
    <sheet name="EF brandstof" sheetId="11" r:id="rId12"/>
    <sheet name="ECF transport " sheetId="47" r:id="rId13"/>
    <sheet name="groei toegevoegde waarde" sheetId="27" r:id="rId14"/>
    <sheet name="energieprijs en discontovoet" sheetId="51" r:id="rId15"/>
    <sheet name="BRONNEN --&gt;" sheetId="48" r:id="rId16"/>
    <sheet name="versiebeheer" sheetId="55" r:id="rId17"/>
  </sheets>
  <definedNames>
    <definedName name="_xlnm._FilterDatabase" localSheetId="12" hidden="1">'ECF transport '!$B$1:$B$65</definedName>
    <definedName name="Resolution">1</definedName>
  </definedNames>
  <calcPr calcId="145621"/>
</workbook>
</file>

<file path=xl/calcChain.xml><?xml version="1.0" encoding="utf-8"?>
<calcChain xmlns="http://schemas.openxmlformats.org/spreadsheetml/2006/main">
  <c r="C46" i="53" l="1"/>
  <c r="F46" i="53"/>
  <c r="I46" i="53"/>
  <c r="J46" i="53"/>
  <c r="K46" i="53"/>
  <c r="L46" i="53"/>
  <c r="N46" i="53"/>
  <c r="O46" i="53"/>
  <c r="P46" i="53"/>
  <c r="B6" i="51" l="1"/>
  <c r="B17" i="50" l="1"/>
  <c r="B16" i="50"/>
  <c r="J37" i="40" l="1"/>
  <c r="C180" i="40"/>
  <c r="C145" i="40" l="1"/>
  <c r="B88" i="50" l="1"/>
  <c r="B86" i="50"/>
  <c r="B15" i="51" l="1"/>
  <c r="B8" i="51"/>
  <c r="B7" i="51"/>
  <c r="N39" i="27"/>
  <c r="L39" i="27"/>
  <c r="N38" i="27"/>
  <c r="L38" i="27"/>
  <c r="N37" i="27"/>
  <c r="L37" i="27"/>
  <c r="N36" i="27"/>
  <c r="L36" i="27"/>
  <c r="N35" i="27"/>
  <c r="L35" i="27"/>
  <c r="N34" i="27"/>
  <c r="L34" i="27"/>
  <c r="N33" i="27"/>
  <c r="L33" i="27"/>
  <c r="N32" i="27"/>
  <c r="L32" i="27"/>
  <c r="N28" i="27"/>
  <c r="N24" i="27"/>
  <c r="L24" i="27"/>
  <c r="K24" i="27"/>
  <c r="J24" i="27"/>
  <c r="I24" i="27"/>
  <c r="H24" i="27"/>
  <c r="G24" i="27"/>
  <c r="F24" i="27"/>
  <c r="E24" i="27"/>
  <c r="D24" i="27"/>
  <c r="C24" i="27"/>
  <c r="N23" i="27"/>
  <c r="L23" i="27"/>
  <c r="K23" i="27"/>
  <c r="J23" i="27"/>
  <c r="I23" i="27"/>
  <c r="H23" i="27"/>
  <c r="G23" i="27"/>
  <c r="F23" i="27"/>
  <c r="E23" i="27"/>
  <c r="D23" i="27"/>
  <c r="C23" i="27"/>
  <c r="N22" i="27"/>
  <c r="L22" i="27"/>
  <c r="K22" i="27"/>
  <c r="J22" i="27"/>
  <c r="I22" i="27"/>
  <c r="H22" i="27"/>
  <c r="G22" i="27"/>
  <c r="F22" i="27"/>
  <c r="E22" i="27"/>
  <c r="D22" i="27"/>
  <c r="C22" i="27"/>
  <c r="N21" i="27"/>
  <c r="L21" i="27"/>
  <c r="K21" i="27"/>
  <c r="J21" i="27"/>
  <c r="I21" i="27"/>
  <c r="H21" i="27"/>
  <c r="G21" i="27"/>
  <c r="F21" i="27"/>
  <c r="E21" i="27"/>
  <c r="D21" i="27"/>
  <c r="C21" i="27"/>
  <c r="N20" i="27"/>
  <c r="L20" i="27"/>
  <c r="K20" i="27"/>
  <c r="J20" i="27"/>
  <c r="I20" i="27"/>
  <c r="H20" i="27"/>
  <c r="G20" i="27"/>
  <c r="F20" i="27"/>
  <c r="E20" i="27"/>
  <c r="D20" i="27"/>
  <c r="C20" i="27"/>
  <c r="N19" i="27"/>
  <c r="L19" i="27"/>
  <c r="K19" i="27"/>
  <c r="J19" i="27"/>
  <c r="I19" i="27"/>
  <c r="H19" i="27"/>
  <c r="G19" i="27"/>
  <c r="F19" i="27"/>
  <c r="E19" i="27"/>
  <c r="D19" i="27"/>
  <c r="C19" i="27"/>
  <c r="N18" i="27"/>
  <c r="L18" i="27"/>
  <c r="K18" i="27"/>
  <c r="J18" i="27"/>
  <c r="I18" i="27"/>
  <c r="H18" i="27"/>
  <c r="G18" i="27"/>
  <c r="F18" i="27"/>
  <c r="E18" i="27"/>
  <c r="D18" i="27"/>
  <c r="C18" i="27"/>
  <c r="N2" i="27"/>
  <c r="C63" i="47"/>
  <c r="C62" i="47"/>
  <c r="C61" i="47"/>
  <c r="C60" i="47"/>
  <c r="C59" i="47"/>
  <c r="C58" i="47"/>
  <c r="C57" i="47"/>
  <c r="C56" i="47"/>
  <c r="C55" i="47"/>
  <c r="C54" i="47"/>
  <c r="C53" i="47"/>
  <c r="C52" i="47"/>
  <c r="C51" i="47"/>
  <c r="C50" i="47"/>
  <c r="C49" i="47"/>
  <c r="C48" i="47"/>
  <c r="C47" i="47"/>
  <c r="C46" i="47"/>
  <c r="C45" i="47"/>
  <c r="C44" i="47"/>
  <c r="C43" i="47"/>
  <c r="C42" i="47"/>
  <c r="C41" i="47"/>
  <c r="C40" i="47"/>
  <c r="C39" i="47"/>
  <c r="C38" i="47"/>
  <c r="C37" i="47"/>
  <c r="C36" i="47"/>
  <c r="C35" i="47"/>
  <c r="C34" i="47"/>
  <c r="C33" i="47"/>
  <c r="C32" i="47"/>
  <c r="C31" i="47"/>
  <c r="C30" i="47"/>
  <c r="C29" i="47"/>
  <c r="C28" i="47"/>
  <c r="C27" i="47"/>
  <c r="C26" i="47"/>
  <c r="C25" i="47"/>
  <c r="C24" i="47"/>
  <c r="C23" i="47"/>
  <c r="C22" i="47"/>
  <c r="C21" i="47"/>
  <c r="C20" i="47"/>
  <c r="C19" i="47"/>
  <c r="C18" i="47"/>
  <c r="C17" i="47"/>
  <c r="C16" i="47"/>
  <c r="C15" i="47"/>
  <c r="C14" i="47"/>
  <c r="C13" i="47"/>
  <c r="C12" i="47"/>
  <c r="C11" i="47"/>
  <c r="C10" i="47"/>
  <c r="C9" i="47"/>
  <c r="C8" i="47"/>
  <c r="C7" i="47"/>
  <c r="C6" i="47"/>
  <c r="C5" i="47"/>
  <c r="C4" i="47"/>
  <c r="M4" i="11"/>
  <c r="L4" i="11"/>
  <c r="K4" i="11"/>
  <c r="J4" i="11"/>
  <c r="I4" i="11"/>
  <c r="H4" i="11"/>
  <c r="G4" i="11"/>
  <c r="F4" i="11"/>
  <c r="E4" i="11"/>
  <c r="D4" i="11"/>
  <c r="C4" i="11"/>
  <c r="B4" i="11"/>
  <c r="P137" i="50"/>
  <c r="O137" i="50"/>
  <c r="O145" i="50" s="1"/>
  <c r="N137" i="50"/>
  <c r="M137" i="50"/>
  <c r="M145" i="50" s="1"/>
  <c r="L137" i="50"/>
  <c r="K137" i="50"/>
  <c r="K145" i="50" s="1"/>
  <c r="J137" i="50"/>
  <c r="I137" i="50"/>
  <c r="I145" i="50" s="1"/>
  <c r="H137" i="50"/>
  <c r="G137" i="50"/>
  <c r="G145" i="50" s="1"/>
  <c r="F137" i="50"/>
  <c r="E137" i="50"/>
  <c r="E145" i="50" s="1"/>
  <c r="D137" i="50"/>
  <c r="C137" i="50"/>
  <c r="C145" i="50" s="1"/>
  <c r="B137" i="50"/>
  <c r="D123" i="50"/>
  <c r="C123" i="50"/>
  <c r="D121" i="50"/>
  <c r="C121" i="50"/>
  <c r="D120" i="50"/>
  <c r="C120" i="50"/>
  <c r="D119" i="50"/>
  <c r="C119" i="50"/>
  <c r="D118" i="50"/>
  <c r="C118" i="50"/>
  <c r="D117" i="50"/>
  <c r="C117" i="50"/>
  <c r="D115" i="50"/>
  <c r="C115" i="50"/>
  <c r="D114" i="50"/>
  <c r="C114" i="50"/>
  <c r="D112" i="50"/>
  <c r="C112" i="50"/>
  <c r="D110" i="50"/>
  <c r="C110" i="50"/>
  <c r="D108" i="50"/>
  <c r="D132" i="50" s="1"/>
  <c r="C108" i="50"/>
  <c r="P98" i="50"/>
  <c r="O98" i="50"/>
  <c r="N98" i="50"/>
  <c r="M98" i="50"/>
  <c r="L98" i="50"/>
  <c r="K98" i="50"/>
  <c r="J98" i="50"/>
  <c r="I98" i="50"/>
  <c r="H98" i="50"/>
  <c r="G98" i="50"/>
  <c r="F98" i="50"/>
  <c r="E98" i="50"/>
  <c r="D98" i="50"/>
  <c r="C98" i="50"/>
  <c r="B89" i="50"/>
  <c r="B87" i="50"/>
  <c r="C96" i="50" s="1"/>
  <c r="O79" i="50"/>
  <c r="K79" i="50"/>
  <c r="G79" i="50"/>
  <c r="P77" i="50"/>
  <c r="P79" i="50" s="1"/>
  <c r="O77" i="50"/>
  <c r="N77" i="50"/>
  <c r="N79" i="50" s="1"/>
  <c r="M77" i="50"/>
  <c r="M79" i="50" s="1"/>
  <c r="L77" i="50"/>
  <c r="L79" i="50" s="1"/>
  <c r="K77" i="50"/>
  <c r="J77" i="50"/>
  <c r="J79" i="50" s="1"/>
  <c r="I77" i="50"/>
  <c r="I79" i="50" s="1"/>
  <c r="H77" i="50"/>
  <c r="H79" i="50" s="1"/>
  <c r="G77" i="50"/>
  <c r="F77" i="50"/>
  <c r="F79" i="50" s="1"/>
  <c r="E77" i="50"/>
  <c r="E79" i="50" s="1"/>
  <c r="D77" i="50"/>
  <c r="D79" i="50" s="1"/>
  <c r="C77" i="50"/>
  <c r="B77" i="50"/>
  <c r="B71" i="50"/>
  <c r="B72" i="50" s="1"/>
  <c r="B65" i="50"/>
  <c r="B63" i="50"/>
  <c r="B55" i="50"/>
  <c r="B18" i="50"/>
  <c r="B9" i="50"/>
  <c r="B7" i="50"/>
  <c r="B22" i="50" s="1"/>
  <c r="B8" i="50" s="1"/>
  <c r="P167" i="42"/>
  <c r="P169" i="42" s="1"/>
  <c r="O167" i="42"/>
  <c r="N167" i="42"/>
  <c r="M167" i="42"/>
  <c r="L167" i="42"/>
  <c r="K167" i="42"/>
  <c r="J167" i="42"/>
  <c r="I167" i="42"/>
  <c r="H167" i="42"/>
  <c r="H169" i="42" s="1"/>
  <c r="G167" i="42"/>
  <c r="F167" i="42"/>
  <c r="E167" i="42"/>
  <c r="D167" i="42"/>
  <c r="C167" i="42"/>
  <c r="B167" i="42"/>
  <c r="P165" i="42"/>
  <c r="O165" i="42"/>
  <c r="O169" i="42" s="1"/>
  <c r="N165" i="42"/>
  <c r="M165" i="42"/>
  <c r="M169" i="42" s="1"/>
  <c r="L165" i="42"/>
  <c r="L169" i="42" s="1"/>
  <c r="K165" i="42"/>
  <c r="K169" i="42" s="1"/>
  <c r="J165" i="42"/>
  <c r="I165" i="42"/>
  <c r="I169" i="42" s="1"/>
  <c r="H165" i="42"/>
  <c r="G165" i="42"/>
  <c r="G169" i="42" s="1"/>
  <c r="F165" i="42"/>
  <c r="E165" i="42"/>
  <c r="E169" i="42" s="1"/>
  <c r="D165" i="42"/>
  <c r="D169" i="42" s="1"/>
  <c r="C165" i="42"/>
  <c r="C169" i="42" s="1"/>
  <c r="B165" i="42"/>
  <c r="P150" i="42"/>
  <c r="J150" i="42"/>
  <c r="P147" i="42"/>
  <c r="O147" i="42"/>
  <c r="O150" i="42" s="1"/>
  <c r="N147" i="42"/>
  <c r="N150" i="42" s="1"/>
  <c r="M147" i="42"/>
  <c r="L147" i="42"/>
  <c r="L150" i="42" s="1"/>
  <c r="K147" i="42"/>
  <c r="K150" i="42" s="1"/>
  <c r="J147" i="42"/>
  <c r="I147" i="42"/>
  <c r="I150" i="42" s="1"/>
  <c r="H147" i="42"/>
  <c r="G147" i="42"/>
  <c r="F147" i="42"/>
  <c r="F150" i="42" s="1"/>
  <c r="E147" i="42"/>
  <c r="D147" i="42"/>
  <c r="C147" i="42"/>
  <c r="C150" i="42" s="1"/>
  <c r="B147" i="42"/>
  <c r="P146" i="42"/>
  <c r="O146" i="42"/>
  <c r="N146" i="42"/>
  <c r="L146" i="42"/>
  <c r="K146" i="42"/>
  <c r="J146" i="42"/>
  <c r="I146" i="42"/>
  <c r="F146" i="42"/>
  <c r="C146" i="42"/>
  <c r="Q143" i="42"/>
  <c r="C124" i="42"/>
  <c r="C123" i="42"/>
  <c r="C117" i="42"/>
  <c r="C116" i="42"/>
  <c r="D97" i="42"/>
  <c r="M142" i="42" s="1"/>
  <c r="C97" i="42"/>
  <c r="B97" i="42"/>
  <c r="A97" i="42"/>
  <c r="D96" i="42"/>
  <c r="E141" i="42" s="1"/>
  <c r="C96" i="42"/>
  <c r="B96" i="42"/>
  <c r="A96" i="42"/>
  <c r="D95" i="42"/>
  <c r="M140" i="42" s="1"/>
  <c r="C95" i="42"/>
  <c r="B95" i="42"/>
  <c r="A95" i="42"/>
  <c r="D94" i="42"/>
  <c r="G139" i="42" s="1"/>
  <c r="C94" i="42"/>
  <c r="B94" i="42"/>
  <c r="A94" i="42"/>
  <c r="D93" i="42"/>
  <c r="G138" i="42" s="1"/>
  <c r="C93" i="42"/>
  <c r="B93" i="42"/>
  <c r="A93" i="42"/>
  <c r="D92" i="42"/>
  <c r="E137" i="42" s="1"/>
  <c r="C92" i="42"/>
  <c r="B92" i="42"/>
  <c r="A92" i="42"/>
  <c r="D91" i="42"/>
  <c r="M136" i="42" s="1"/>
  <c r="C91" i="42"/>
  <c r="B91" i="42"/>
  <c r="A91" i="42"/>
  <c r="D90" i="42"/>
  <c r="H135" i="42" s="1"/>
  <c r="C90" i="42"/>
  <c r="B90" i="42"/>
  <c r="A90" i="42"/>
  <c r="D89" i="42"/>
  <c r="G134" i="42" s="1"/>
  <c r="C89" i="42"/>
  <c r="B89" i="42"/>
  <c r="A89" i="42"/>
  <c r="D88" i="42"/>
  <c r="C88" i="42"/>
  <c r="B88" i="42"/>
  <c r="A88" i="42"/>
  <c r="B69" i="42"/>
  <c r="M33" i="42"/>
  <c r="N32" i="42"/>
  <c r="K29" i="42"/>
  <c r="J23" i="42"/>
  <c r="J12" i="42"/>
  <c r="J13" i="42" s="1"/>
  <c r="J24" i="42" s="1"/>
  <c r="B12" i="42"/>
  <c r="B13" i="42" s="1"/>
  <c r="B35" i="42" s="1"/>
  <c r="P135" i="41"/>
  <c r="O135" i="41"/>
  <c r="N135" i="41"/>
  <c r="M135" i="41"/>
  <c r="L135" i="41"/>
  <c r="N134" i="41"/>
  <c r="M134" i="41"/>
  <c r="L134" i="41"/>
  <c r="K127" i="41"/>
  <c r="K135" i="41" s="1"/>
  <c r="J127" i="41"/>
  <c r="J135" i="41" s="1"/>
  <c r="I127" i="41"/>
  <c r="H127" i="41"/>
  <c r="H135" i="41" s="1"/>
  <c r="G127" i="41"/>
  <c r="G134" i="41" s="1"/>
  <c r="F127" i="41"/>
  <c r="F135" i="41" s="1"/>
  <c r="E127" i="41"/>
  <c r="D127" i="41"/>
  <c r="D135" i="41" s="1"/>
  <c r="C127" i="41"/>
  <c r="C135" i="41" s="1"/>
  <c r="B127" i="41"/>
  <c r="B133" i="41" s="1"/>
  <c r="D113" i="41"/>
  <c r="D100" i="41"/>
  <c r="P79" i="41"/>
  <c r="P91" i="41" s="1"/>
  <c r="P121" i="41" s="1"/>
  <c r="P133" i="41" s="1"/>
  <c r="O79" i="41"/>
  <c r="O91" i="41" s="1"/>
  <c r="O121" i="41" s="1"/>
  <c r="O133" i="41" s="1"/>
  <c r="N79" i="41"/>
  <c r="N91" i="41" s="1"/>
  <c r="N121" i="41" s="1"/>
  <c r="M79" i="41"/>
  <c r="M91" i="41" s="1"/>
  <c r="M121" i="41" s="1"/>
  <c r="L79" i="41"/>
  <c r="L91" i="41" s="1"/>
  <c r="L121" i="41" s="1"/>
  <c r="L133" i="41" s="1"/>
  <c r="K79" i="41"/>
  <c r="K91" i="41" s="1"/>
  <c r="K121" i="41" s="1"/>
  <c r="K41" i="53" s="1"/>
  <c r="J79" i="41"/>
  <c r="J91" i="41" s="1"/>
  <c r="J121" i="41" s="1"/>
  <c r="I79" i="41"/>
  <c r="I91" i="41" s="1"/>
  <c r="I121" i="41" s="1"/>
  <c r="H79" i="41"/>
  <c r="H91" i="41" s="1"/>
  <c r="H121" i="41" s="1"/>
  <c r="H133" i="41" s="1"/>
  <c r="G79" i="41"/>
  <c r="G91" i="41" s="1"/>
  <c r="G121" i="41" s="1"/>
  <c r="F79" i="41"/>
  <c r="F91" i="41" s="1"/>
  <c r="F121" i="41" s="1"/>
  <c r="E79" i="41"/>
  <c r="E91" i="41" s="1"/>
  <c r="E121" i="41" s="1"/>
  <c r="D79" i="41"/>
  <c r="D91" i="41" s="1"/>
  <c r="D121" i="41" s="1"/>
  <c r="C79" i="41"/>
  <c r="C91" i="41" s="1"/>
  <c r="C121" i="41" s="1"/>
  <c r="B79" i="41"/>
  <c r="B91" i="41" s="1"/>
  <c r="B69" i="41"/>
  <c r="B65" i="41"/>
  <c r="B64" i="41"/>
  <c r="B62" i="41"/>
  <c r="B54" i="41"/>
  <c r="B13" i="41"/>
  <c r="J12" i="41"/>
  <c r="J7" i="41"/>
  <c r="K194" i="40"/>
  <c r="C194" i="40"/>
  <c r="K193" i="40"/>
  <c r="G193" i="40"/>
  <c r="C193" i="40"/>
  <c r="P186" i="40"/>
  <c r="P194" i="40" s="1"/>
  <c r="O186" i="40"/>
  <c r="O194" i="40" s="1"/>
  <c r="N186" i="40"/>
  <c r="M186" i="40"/>
  <c r="L186" i="40"/>
  <c r="K186" i="40"/>
  <c r="J186" i="40"/>
  <c r="I186" i="40"/>
  <c r="I194" i="40" s="1"/>
  <c r="H186" i="40"/>
  <c r="G186" i="40"/>
  <c r="G194" i="40" s="1"/>
  <c r="F186" i="40"/>
  <c r="E186" i="40"/>
  <c r="E194" i="40" s="1"/>
  <c r="D186" i="40"/>
  <c r="C186" i="40"/>
  <c r="C192" i="40" s="1"/>
  <c r="B186" i="40"/>
  <c r="D172" i="40"/>
  <c r="D170" i="40"/>
  <c r="C170" i="40"/>
  <c r="D169" i="40"/>
  <c r="C169" i="40"/>
  <c r="D164" i="40"/>
  <c r="D157" i="40"/>
  <c r="C157" i="40"/>
  <c r="P147" i="40"/>
  <c r="O147" i="40"/>
  <c r="N147" i="40"/>
  <c r="M147" i="40"/>
  <c r="L147" i="40"/>
  <c r="K147" i="40"/>
  <c r="J147" i="40"/>
  <c r="I147" i="40"/>
  <c r="H147" i="40"/>
  <c r="G147" i="40"/>
  <c r="F147" i="40"/>
  <c r="E147" i="40"/>
  <c r="D147" i="40"/>
  <c r="C147" i="40"/>
  <c r="K145" i="40"/>
  <c r="C143" i="40"/>
  <c r="B136" i="40"/>
  <c r="N128" i="40"/>
  <c r="N145" i="40" s="1"/>
  <c r="F128" i="40"/>
  <c r="F145" i="40" s="1"/>
  <c r="P126" i="40"/>
  <c r="P128" i="40" s="1"/>
  <c r="P145" i="40" s="1"/>
  <c r="O126" i="40"/>
  <c r="O128" i="40" s="1"/>
  <c r="O145" i="40" s="1"/>
  <c r="O180" i="40" s="1"/>
  <c r="N126" i="40"/>
  <c r="M126" i="40"/>
  <c r="M128" i="40" s="1"/>
  <c r="L126" i="40"/>
  <c r="L128" i="40" s="1"/>
  <c r="L145" i="40" s="1"/>
  <c r="K126" i="40"/>
  <c r="K128" i="40" s="1"/>
  <c r="J126" i="40"/>
  <c r="J128" i="40" s="1"/>
  <c r="J145" i="40" s="1"/>
  <c r="I126" i="40"/>
  <c r="I128" i="40" s="1"/>
  <c r="H126" i="40"/>
  <c r="H128" i="40" s="1"/>
  <c r="H145" i="40" s="1"/>
  <c r="G126" i="40"/>
  <c r="G128" i="40" s="1"/>
  <c r="G145" i="40" s="1"/>
  <c r="G180" i="40" s="1"/>
  <c r="F126" i="40"/>
  <c r="E126" i="40"/>
  <c r="E128" i="40" s="1"/>
  <c r="D126" i="40"/>
  <c r="D128" i="40" s="1"/>
  <c r="D145" i="40" s="1"/>
  <c r="D180" i="40" s="1"/>
  <c r="C126" i="40"/>
  <c r="B126" i="40"/>
  <c r="B128" i="40" s="1"/>
  <c r="B145" i="40" s="1"/>
  <c r="B180" i="40" s="1"/>
  <c r="B121" i="40"/>
  <c r="B114" i="40"/>
  <c r="B111" i="40"/>
  <c r="B110" i="40"/>
  <c r="B101" i="40"/>
  <c r="B64" i="40"/>
  <c r="B58" i="40"/>
  <c r="J45" i="40"/>
  <c r="J44" i="40"/>
  <c r="J36" i="40"/>
  <c r="J30" i="40"/>
  <c r="B30" i="40"/>
  <c r="J14" i="40"/>
  <c r="B14" i="40"/>
  <c r="J8" i="40"/>
  <c r="B8" i="40"/>
  <c r="P52" i="53"/>
  <c r="P62" i="53" s="1"/>
  <c r="O52" i="53"/>
  <c r="N52" i="53"/>
  <c r="N63" i="53" s="1"/>
  <c r="M52" i="53"/>
  <c r="L52" i="53"/>
  <c r="L62" i="53" s="1"/>
  <c r="K52" i="53"/>
  <c r="J52" i="53"/>
  <c r="J63" i="53" s="1"/>
  <c r="I52" i="53"/>
  <c r="H52" i="53"/>
  <c r="G52" i="53"/>
  <c r="F52" i="53"/>
  <c r="F62" i="53" s="1"/>
  <c r="E52" i="53"/>
  <c r="D52" i="53"/>
  <c r="C52" i="53"/>
  <c r="B52" i="53"/>
  <c r="P44" i="53"/>
  <c r="P61" i="53" s="1"/>
  <c r="H44" i="53"/>
  <c r="H61" i="53" s="1"/>
  <c r="P42" i="53"/>
  <c r="P59" i="53" s="1"/>
  <c r="H42" i="53"/>
  <c r="H59" i="53" s="1"/>
  <c r="C40" i="53"/>
  <c r="J31" i="53"/>
  <c r="J65" i="53" s="1"/>
  <c r="B31" i="53"/>
  <c r="N27" i="53"/>
  <c r="F27" i="53"/>
  <c r="N25" i="53"/>
  <c r="F25" i="53"/>
  <c r="N23" i="53"/>
  <c r="J23" i="53"/>
  <c r="F23" i="53"/>
  <c r="B23" i="53"/>
  <c r="P18" i="53"/>
  <c r="O18" i="53"/>
  <c r="N18" i="53"/>
  <c r="M18" i="53"/>
  <c r="L18" i="53"/>
  <c r="K18" i="53"/>
  <c r="J18" i="53"/>
  <c r="I18" i="53"/>
  <c r="H18" i="53"/>
  <c r="G18" i="53"/>
  <c r="F18" i="53"/>
  <c r="E18" i="53"/>
  <c r="D18" i="53"/>
  <c r="C18" i="53"/>
  <c r="B18" i="53"/>
  <c r="P15" i="53"/>
  <c r="O15" i="53"/>
  <c r="N15" i="53"/>
  <c r="N49" i="53" s="1"/>
  <c r="M15" i="53"/>
  <c r="L15" i="53"/>
  <c r="K15" i="53"/>
  <c r="J15" i="53"/>
  <c r="J49" i="53" s="1"/>
  <c r="I15" i="53"/>
  <c r="H15" i="53"/>
  <c r="G15" i="53"/>
  <c r="F15" i="53"/>
  <c r="F49" i="53" s="1"/>
  <c r="E15" i="53"/>
  <c r="D15" i="53"/>
  <c r="C15" i="53"/>
  <c r="B15" i="53"/>
  <c r="B49" i="53" s="1"/>
  <c r="P14" i="53"/>
  <c r="O14" i="53"/>
  <c r="N14" i="53"/>
  <c r="N48" i="53" s="1"/>
  <c r="M14" i="53"/>
  <c r="L14" i="53"/>
  <c r="K14" i="53"/>
  <c r="J14" i="53"/>
  <c r="J48" i="53" s="1"/>
  <c r="I14" i="53"/>
  <c r="H14" i="53"/>
  <c r="G14" i="53"/>
  <c r="F14" i="53"/>
  <c r="F48" i="53" s="1"/>
  <c r="E14" i="53"/>
  <c r="D14" i="53"/>
  <c r="C14" i="53"/>
  <c r="B14" i="53"/>
  <c r="B48" i="53" s="1"/>
  <c r="P13" i="53"/>
  <c r="O13" i="53"/>
  <c r="N13" i="53"/>
  <c r="N47" i="53" s="1"/>
  <c r="M13" i="53"/>
  <c r="L13" i="53"/>
  <c r="K13" i="53"/>
  <c r="J13" i="53"/>
  <c r="J47" i="53" s="1"/>
  <c r="I13" i="53"/>
  <c r="H13" i="53"/>
  <c r="G13" i="53"/>
  <c r="F13" i="53"/>
  <c r="F47" i="53" s="1"/>
  <c r="E13" i="53"/>
  <c r="D13" i="53"/>
  <c r="C13" i="53"/>
  <c r="B13" i="53"/>
  <c r="B47" i="53" s="1"/>
  <c r="M12" i="53"/>
  <c r="H12" i="53"/>
  <c r="H46" i="53" s="1"/>
  <c r="G12" i="53"/>
  <c r="G46" i="53" s="1"/>
  <c r="E12" i="53"/>
  <c r="D12" i="53"/>
  <c r="B12" i="53"/>
  <c r="Q12" i="53" s="1"/>
  <c r="M11" i="53"/>
  <c r="H11" i="53"/>
  <c r="H28" i="53" s="1"/>
  <c r="G11" i="53"/>
  <c r="E11" i="53"/>
  <c r="E28" i="53" s="1"/>
  <c r="D11" i="53"/>
  <c r="B11" i="53"/>
  <c r="B28" i="53" s="1"/>
  <c r="P10" i="53"/>
  <c r="P27" i="53" s="1"/>
  <c r="O10" i="53"/>
  <c r="N10" i="53"/>
  <c r="N44" i="53" s="1"/>
  <c r="M10" i="53"/>
  <c r="L10" i="53"/>
  <c r="L27" i="53" s="1"/>
  <c r="K10" i="53"/>
  <c r="J10" i="53"/>
  <c r="J44" i="53" s="1"/>
  <c r="I10" i="53"/>
  <c r="H10" i="53"/>
  <c r="H27" i="53" s="1"/>
  <c r="G10" i="53"/>
  <c r="F10" i="53"/>
  <c r="F44" i="53" s="1"/>
  <c r="F61" i="53" s="1"/>
  <c r="E10" i="53"/>
  <c r="D10" i="53"/>
  <c r="D27" i="53" s="1"/>
  <c r="C10" i="53"/>
  <c r="Q10" i="53" s="1"/>
  <c r="B79" i="53" s="1"/>
  <c r="B10" i="53"/>
  <c r="B44" i="53" s="1"/>
  <c r="P9" i="53"/>
  <c r="P26" i="53" s="1"/>
  <c r="O9" i="53"/>
  <c r="N9" i="53"/>
  <c r="N43" i="53" s="1"/>
  <c r="N60" i="53" s="1"/>
  <c r="M9" i="53"/>
  <c r="L9" i="53"/>
  <c r="L26" i="53" s="1"/>
  <c r="K9" i="53"/>
  <c r="J9" i="53"/>
  <c r="J43" i="53" s="1"/>
  <c r="J60" i="53" s="1"/>
  <c r="I9" i="53"/>
  <c r="H9" i="53"/>
  <c r="H26" i="53" s="1"/>
  <c r="G9" i="53"/>
  <c r="F9" i="53"/>
  <c r="F43" i="53" s="1"/>
  <c r="F60" i="53" s="1"/>
  <c r="E9" i="53"/>
  <c r="D9" i="53"/>
  <c r="D26" i="53" s="1"/>
  <c r="C9" i="53"/>
  <c r="B9" i="53"/>
  <c r="B43" i="53" s="1"/>
  <c r="B60" i="53" s="1"/>
  <c r="P8" i="53"/>
  <c r="P25" i="53" s="1"/>
  <c r="O8" i="53"/>
  <c r="N8" i="53"/>
  <c r="N42" i="53" s="1"/>
  <c r="M8" i="53"/>
  <c r="L8" i="53"/>
  <c r="L25" i="53" s="1"/>
  <c r="K8" i="53"/>
  <c r="J8" i="53"/>
  <c r="J42" i="53" s="1"/>
  <c r="I8" i="53"/>
  <c r="H8" i="53"/>
  <c r="H25" i="53" s="1"/>
  <c r="G8" i="53"/>
  <c r="F8" i="53"/>
  <c r="F42" i="53" s="1"/>
  <c r="F59" i="53" s="1"/>
  <c r="E8" i="53"/>
  <c r="D8" i="53"/>
  <c r="D25" i="53" s="1"/>
  <c r="C8" i="53"/>
  <c r="Q8" i="53" s="1"/>
  <c r="B77" i="53" s="1"/>
  <c r="B8" i="53"/>
  <c r="B42" i="53" s="1"/>
  <c r="P7" i="53"/>
  <c r="P24" i="53" s="1"/>
  <c r="O7" i="53"/>
  <c r="N7" i="53"/>
  <c r="N24" i="53" s="1"/>
  <c r="M7" i="53"/>
  <c r="L7" i="53"/>
  <c r="L24" i="53" s="1"/>
  <c r="K7" i="53"/>
  <c r="J7" i="53"/>
  <c r="J24" i="53" s="1"/>
  <c r="I7" i="53"/>
  <c r="H7" i="53"/>
  <c r="H24" i="53" s="1"/>
  <c r="G7" i="53"/>
  <c r="F7" i="53"/>
  <c r="F24" i="53" s="1"/>
  <c r="E7" i="53"/>
  <c r="D7" i="53"/>
  <c r="D24" i="53" s="1"/>
  <c r="C7" i="53"/>
  <c r="B7" i="53"/>
  <c r="B24" i="53" s="1"/>
  <c r="P6" i="53"/>
  <c r="O6" i="53"/>
  <c r="O23" i="53" s="1"/>
  <c r="N6" i="53"/>
  <c r="M6" i="53"/>
  <c r="M23" i="53" s="1"/>
  <c r="L6" i="53"/>
  <c r="K6" i="53"/>
  <c r="K23" i="53" s="1"/>
  <c r="J6" i="53"/>
  <c r="I6" i="53"/>
  <c r="I23" i="53" s="1"/>
  <c r="H6" i="53"/>
  <c r="G6" i="53"/>
  <c r="G23" i="53" s="1"/>
  <c r="F6" i="53"/>
  <c r="E6" i="53"/>
  <c r="E23" i="53" s="1"/>
  <c r="D6" i="53"/>
  <c r="D23" i="53" s="1"/>
  <c r="C6" i="53"/>
  <c r="C23" i="53" s="1"/>
  <c r="B6" i="53"/>
  <c r="A7" i="31"/>
  <c r="A6" i="31"/>
  <c r="J7" i="40" l="1"/>
  <c r="J20" i="40" s="1"/>
  <c r="B181" i="40"/>
  <c r="B57" i="40"/>
  <c r="B70" i="40" s="1"/>
  <c r="E29" i="53"/>
  <c r="E46" i="53"/>
  <c r="D47" i="53"/>
  <c r="D30" i="53"/>
  <c r="H47" i="53"/>
  <c r="H30" i="53"/>
  <c r="L47" i="53"/>
  <c r="L30" i="53"/>
  <c r="P47" i="53"/>
  <c r="P30" i="53"/>
  <c r="C31" i="53"/>
  <c r="C65" i="53" s="1"/>
  <c r="C48" i="53"/>
  <c r="E31" i="53"/>
  <c r="E48" i="53"/>
  <c r="E65" i="53" s="1"/>
  <c r="G31" i="53"/>
  <c r="G65" i="53" s="1"/>
  <c r="G48" i="53"/>
  <c r="I31" i="53"/>
  <c r="I48" i="53"/>
  <c r="I65" i="53" s="1"/>
  <c r="K31" i="53"/>
  <c r="K65" i="53" s="1"/>
  <c r="K48" i="53"/>
  <c r="M31" i="53"/>
  <c r="M48" i="53"/>
  <c r="M65" i="53" s="1"/>
  <c r="O31" i="53"/>
  <c r="O65" i="53" s="1"/>
  <c r="O48" i="53"/>
  <c r="D49" i="53"/>
  <c r="D32" i="53"/>
  <c r="H49" i="53"/>
  <c r="H32" i="53"/>
  <c r="L49" i="53"/>
  <c r="L32" i="53"/>
  <c r="P49" i="53"/>
  <c r="P32" i="53"/>
  <c r="F26" i="53"/>
  <c r="F33" i="53" s="1"/>
  <c r="N26" i="53"/>
  <c r="B30" i="53"/>
  <c r="Q30" i="53" s="1"/>
  <c r="J30" i="53"/>
  <c r="J64" i="53" s="1"/>
  <c r="B32" i="53"/>
  <c r="Q32" i="53" s="1"/>
  <c r="J32" i="53"/>
  <c r="J66" i="53" s="1"/>
  <c r="H43" i="53"/>
  <c r="H60" i="53" s="1"/>
  <c r="P43" i="53"/>
  <c r="P60" i="53" s="1"/>
  <c r="N59" i="53"/>
  <c r="N61" i="53"/>
  <c r="N62" i="53"/>
  <c r="L63" i="53"/>
  <c r="O143" i="40"/>
  <c r="F193" i="40"/>
  <c r="F194" i="40"/>
  <c r="N194" i="40"/>
  <c r="N193" i="40"/>
  <c r="F16" i="53"/>
  <c r="H16" i="53"/>
  <c r="J16" i="53"/>
  <c r="L16" i="53"/>
  <c r="N16" i="53"/>
  <c r="P16" i="53"/>
  <c r="C24" i="53"/>
  <c r="E24" i="53"/>
  <c r="Q24" i="53" s="1"/>
  <c r="D76" i="53" s="1"/>
  <c r="G24" i="53"/>
  <c r="I24" i="53"/>
  <c r="K24" i="53"/>
  <c r="M24" i="53"/>
  <c r="O24" i="53"/>
  <c r="B59" i="53"/>
  <c r="J59" i="53"/>
  <c r="Q9" i="53"/>
  <c r="B78" i="53" s="1"/>
  <c r="B61" i="53"/>
  <c r="J61" i="53"/>
  <c r="G28" i="53"/>
  <c r="M28" i="53"/>
  <c r="D46" i="53"/>
  <c r="D63" i="53" s="1"/>
  <c r="D29" i="53"/>
  <c r="M46" i="53"/>
  <c r="M63" i="53" s="1"/>
  <c r="M29" i="53"/>
  <c r="C30" i="53"/>
  <c r="C64" i="53" s="1"/>
  <c r="C47" i="53"/>
  <c r="E30" i="53"/>
  <c r="E47" i="53"/>
  <c r="E64" i="53" s="1"/>
  <c r="G30" i="53"/>
  <c r="G64" i="53" s="1"/>
  <c r="G47" i="53"/>
  <c r="I30" i="53"/>
  <c r="I47" i="53"/>
  <c r="I64" i="53" s="1"/>
  <c r="K30" i="53"/>
  <c r="K64" i="53" s="1"/>
  <c r="K47" i="53"/>
  <c r="M30" i="53"/>
  <c r="M47" i="53"/>
  <c r="M64" i="53" s="1"/>
  <c r="O30" i="53"/>
  <c r="O64" i="53" s="1"/>
  <c r="O47" i="53"/>
  <c r="D48" i="53"/>
  <c r="D31" i="53"/>
  <c r="H48" i="53"/>
  <c r="H31" i="53"/>
  <c r="L48" i="53"/>
  <c r="L31" i="53"/>
  <c r="P48" i="53"/>
  <c r="P31" i="53"/>
  <c r="C32" i="53"/>
  <c r="C49" i="53"/>
  <c r="E32" i="53"/>
  <c r="E49" i="53"/>
  <c r="G32" i="53"/>
  <c r="G49" i="53"/>
  <c r="I32" i="53"/>
  <c r="I49" i="53"/>
  <c r="K32" i="53"/>
  <c r="K49" i="53"/>
  <c r="M32" i="53"/>
  <c r="M49" i="53"/>
  <c r="O32" i="53"/>
  <c r="O49" i="53"/>
  <c r="H23" i="53"/>
  <c r="L23" i="53"/>
  <c r="L33" i="53" s="1"/>
  <c r="P23" i="53"/>
  <c r="P33" i="53" s="1"/>
  <c r="B25" i="53"/>
  <c r="J25" i="53"/>
  <c r="B26" i="53"/>
  <c r="J26" i="53"/>
  <c r="B27" i="53"/>
  <c r="J27" i="53"/>
  <c r="G29" i="53"/>
  <c r="F30" i="53"/>
  <c r="F64" i="53" s="1"/>
  <c r="N30" i="53"/>
  <c r="N64" i="53" s="1"/>
  <c r="F31" i="53"/>
  <c r="F65" i="53" s="1"/>
  <c r="N31" i="53"/>
  <c r="N65" i="53" s="1"/>
  <c r="F32" i="53"/>
  <c r="F66" i="53" s="1"/>
  <c r="N32" i="53"/>
  <c r="N66" i="53" s="1"/>
  <c r="D42" i="53"/>
  <c r="D59" i="53" s="1"/>
  <c r="L42" i="53"/>
  <c r="L59" i="53" s="1"/>
  <c r="D43" i="53"/>
  <c r="D60" i="53" s="1"/>
  <c r="L43" i="53"/>
  <c r="L60" i="53" s="1"/>
  <c r="D44" i="53"/>
  <c r="D61" i="53" s="1"/>
  <c r="L44" i="53"/>
  <c r="L61" i="53" s="1"/>
  <c r="J62" i="53"/>
  <c r="F63" i="53"/>
  <c r="P63" i="53"/>
  <c r="B192" i="40"/>
  <c r="G143" i="40"/>
  <c r="K180" i="40"/>
  <c r="K40" i="53" s="1"/>
  <c r="K50" i="53" s="1"/>
  <c r="K143" i="40"/>
  <c r="B130" i="40"/>
  <c r="B147" i="40" s="1"/>
  <c r="B182" i="40" s="1"/>
  <c r="E193" i="40"/>
  <c r="I193" i="40"/>
  <c r="B123" i="41"/>
  <c r="B135" i="41" s="1"/>
  <c r="Q135" i="41" s="1"/>
  <c r="B169" i="42"/>
  <c r="F169" i="42"/>
  <c r="Q169" i="42" s="1"/>
  <c r="J169" i="42"/>
  <c r="N169" i="42"/>
  <c r="E144" i="50"/>
  <c r="I144" i="50"/>
  <c r="M144" i="50"/>
  <c r="C144" i="50"/>
  <c r="G144" i="50"/>
  <c r="K144" i="50"/>
  <c r="C131" i="50"/>
  <c r="C143" i="50" s="1"/>
  <c r="C94" i="50"/>
  <c r="G96" i="50"/>
  <c r="K96" i="50"/>
  <c r="E96" i="50"/>
  <c r="E94" i="50" s="1"/>
  <c r="M96" i="50"/>
  <c r="M94" i="50" s="1"/>
  <c r="O96" i="50"/>
  <c r="F133" i="41"/>
  <c r="F41" i="53"/>
  <c r="F58" i="53" s="1"/>
  <c r="J133" i="41"/>
  <c r="J41" i="53"/>
  <c r="J58" i="53" s="1"/>
  <c r="N133" i="41"/>
  <c r="N41" i="53"/>
  <c r="N58" i="53" s="1"/>
  <c r="L41" i="53"/>
  <c r="L58" i="53" s="1"/>
  <c r="H41" i="53"/>
  <c r="H58" i="53" s="1"/>
  <c r="K28" i="42"/>
  <c r="J26" i="42" s="1"/>
  <c r="J20" i="42"/>
  <c r="B18" i="42"/>
  <c r="B134" i="42"/>
  <c r="H134" i="42"/>
  <c r="D135" i="42"/>
  <c r="M135" i="42"/>
  <c r="G137" i="42"/>
  <c r="B138" i="42"/>
  <c r="H138" i="42"/>
  <c r="M139" i="42"/>
  <c r="Q139" i="42" s="1"/>
  <c r="E140" i="42"/>
  <c r="G141" i="42"/>
  <c r="G142" i="42"/>
  <c r="Q142" i="42" s="1"/>
  <c r="O132" i="50"/>
  <c r="O144" i="50" s="1"/>
  <c r="D181" i="40"/>
  <c r="D134" i="42"/>
  <c r="M134" i="42"/>
  <c r="E135" i="42"/>
  <c r="B137" i="42"/>
  <c r="H137" i="42"/>
  <c r="D138" i="42"/>
  <c r="M138" i="42"/>
  <c r="G140" i="42"/>
  <c r="B141" i="42"/>
  <c r="H141" i="42"/>
  <c r="B7" i="40"/>
  <c r="B20" i="40" s="1"/>
  <c r="O181" i="40"/>
  <c r="E134" i="42"/>
  <c r="E133" i="42" s="1"/>
  <c r="E145" i="42" s="1"/>
  <c r="E45" i="53" s="1"/>
  <c r="E62" i="53" s="1"/>
  <c r="G135" i="42"/>
  <c r="G146" i="42" s="1"/>
  <c r="G136" i="42"/>
  <c r="Q136" i="42" s="1"/>
  <c r="D137" i="42"/>
  <c r="M137" i="42"/>
  <c r="E138" i="42"/>
  <c r="B140" i="42"/>
  <c r="H140" i="42"/>
  <c r="D141" i="42"/>
  <c r="M141" i="42"/>
  <c r="B132" i="50"/>
  <c r="B144" i="50" s="1"/>
  <c r="B135" i="42"/>
  <c r="D140" i="42"/>
  <c r="G150" i="42"/>
  <c r="G42" i="53"/>
  <c r="G59" i="53" s="1"/>
  <c r="G25" i="53"/>
  <c r="O42" i="53"/>
  <c r="O59" i="53" s="1"/>
  <c r="O25" i="53"/>
  <c r="G43" i="53"/>
  <c r="G60" i="53" s="1"/>
  <c r="G26" i="53"/>
  <c r="O43" i="53"/>
  <c r="O60" i="53" s="1"/>
  <c r="O26" i="53"/>
  <c r="K44" i="53"/>
  <c r="K61" i="53" s="1"/>
  <c r="K27" i="53"/>
  <c r="Q6" i="53"/>
  <c r="Q7" i="53"/>
  <c r="B76" i="53" s="1"/>
  <c r="E25" i="53"/>
  <c r="E42" i="53"/>
  <c r="E59" i="53" s="1"/>
  <c r="I25" i="53"/>
  <c r="I42" i="53"/>
  <c r="I59" i="53" s="1"/>
  <c r="M25" i="53"/>
  <c r="M42" i="53"/>
  <c r="M59" i="53" s="1"/>
  <c r="E26" i="53"/>
  <c r="E43" i="53"/>
  <c r="E60" i="53" s="1"/>
  <c r="I26" i="53"/>
  <c r="I43" i="53"/>
  <c r="I60" i="53" s="1"/>
  <c r="M26" i="53"/>
  <c r="M43" i="53"/>
  <c r="M60" i="53" s="1"/>
  <c r="E27" i="53"/>
  <c r="E44" i="53"/>
  <c r="E61" i="53" s="1"/>
  <c r="I27" i="53"/>
  <c r="I44" i="53"/>
  <c r="I61" i="53" s="1"/>
  <c r="M27" i="53"/>
  <c r="M44" i="53"/>
  <c r="M61" i="53" s="1"/>
  <c r="G16" i="53"/>
  <c r="O16" i="53"/>
  <c r="Q31" i="53"/>
  <c r="J33" i="53"/>
  <c r="E66" i="53"/>
  <c r="I66" i="53"/>
  <c r="I63" i="53"/>
  <c r="I62" i="53"/>
  <c r="M66" i="53"/>
  <c r="Q60" i="53"/>
  <c r="E78" i="53" s="1"/>
  <c r="O40" i="53"/>
  <c r="O57" i="53" s="1"/>
  <c r="O192" i="40"/>
  <c r="I133" i="41"/>
  <c r="I41" i="53"/>
  <c r="I58" i="53" s="1"/>
  <c r="E135" i="41"/>
  <c r="E134" i="41"/>
  <c r="I134" i="41"/>
  <c r="I135" i="41"/>
  <c r="C133" i="41"/>
  <c r="G135" i="41"/>
  <c r="B16" i="53"/>
  <c r="Q13" i="53"/>
  <c r="Q14" i="53"/>
  <c r="Q15" i="53"/>
  <c r="I16" i="53"/>
  <c r="Q23" i="53"/>
  <c r="Q43" i="53"/>
  <c r="C78" i="53" s="1"/>
  <c r="E63" i="53"/>
  <c r="F180" i="40"/>
  <c r="B113" i="40" s="1"/>
  <c r="F143" i="40"/>
  <c r="N180" i="40"/>
  <c r="N143" i="40"/>
  <c r="D193" i="40"/>
  <c r="D194" i="40"/>
  <c r="H193" i="40"/>
  <c r="H194" i="40"/>
  <c r="L194" i="40"/>
  <c r="L193" i="40"/>
  <c r="Q121" i="41"/>
  <c r="C41" i="53"/>
  <c r="G41" i="53"/>
  <c r="G58" i="53" s="1"/>
  <c r="G133" i="41"/>
  <c r="K58" i="53"/>
  <c r="Q91" i="41"/>
  <c r="K133" i="41"/>
  <c r="I96" i="50"/>
  <c r="C42" i="53"/>
  <c r="C59" i="53" s="1"/>
  <c r="C25" i="53"/>
  <c r="K42" i="53"/>
  <c r="K59" i="53" s="1"/>
  <c r="K25" i="53"/>
  <c r="K33" i="53" s="1"/>
  <c r="C43" i="53"/>
  <c r="C60" i="53" s="1"/>
  <c r="C26" i="53"/>
  <c r="K43" i="53"/>
  <c r="K60" i="53" s="1"/>
  <c r="K26" i="53"/>
  <c r="C44" i="53"/>
  <c r="C61" i="53" s="1"/>
  <c r="C27" i="53"/>
  <c r="G44" i="53"/>
  <c r="G61" i="53" s="1"/>
  <c r="G27" i="53"/>
  <c r="O44" i="53"/>
  <c r="O61" i="53" s="1"/>
  <c r="O27" i="53"/>
  <c r="D28" i="53"/>
  <c r="Q11" i="53"/>
  <c r="B80" i="53" s="1"/>
  <c r="C16" i="53"/>
  <c r="K16" i="53"/>
  <c r="N33" i="53"/>
  <c r="C66" i="53"/>
  <c r="C63" i="53"/>
  <c r="C62" i="53"/>
  <c r="C57" i="53"/>
  <c r="G66" i="53"/>
  <c r="K66" i="53"/>
  <c r="K63" i="53"/>
  <c r="K62" i="53"/>
  <c r="O66" i="53"/>
  <c r="O63" i="53"/>
  <c r="O62" i="53"/>
  <c r="G40" i="53"/>
  <c r="G192" i="40"/>
  <c r="C134" i="41"/>
  <c r="D16" i="53"/>
  <c r="B29" i="53"/>
  <c r="B46" i="53"/>
  <c r="H63" i="53"/>
  <c r="H29" i="53"/>
  <c r="H33" i="53" s="1"/>
  <c r="E16" i="53"/>
  <c r="M16" i="53"/>
  <c r="G63" i="53"/>
  <c r="E145" i="40"/>
  <c r="I145" i="40"/>
  <c r="M145" i="40"/>
  <c r="Q126" i="40"/>
  <c r="J180" i="40"/>
  <c r="J143" i="40"/>
  <c r="Q130" i="40"/>
  <c r="Q147" i="40" s="1"/>
  <c r="K192" i="40"/>
  <c r="B193" i="40"/>
  <c r="B108" i="40"/>
  <c r="J194" i="40"/>
  <c r="J193" i="40"/>
  <c r="E133" i="41"/>
  <c r="E41" i="53"/>
  <c r="E58" i="53" s="1"/>
  <c r="M133" i="41"/>
  <c r="M41" i="53"/>
  <c r="M58" i="53" s="1"/>
  <c r="Q79" i="41"/>
  <c r="K134" i="41"/>
  <c r="Q128" i="40"/>
  <c r="O129" i="40" s="1"/>
  <c r="O146" i="40" s="1"/>
  <c r="D143" i="40"/>
  <c r="L180" i="40"/>
  <c r="L143" i="40"/>
  <c r="D96" i="50"/>
  <c r="H96" i="50"/>
  <c r="L96" i="50"/>
  <c r="P96" i="50"/>
  <c r="B62" i="50"/>
  <c r="B19" i="50" s="1"/>
  <c r="F145" i="50"/>
  <c r="F144" i="50"/>
  <c r="J145" i="50"/>
  <c r="J144" i="50"/>
  <c r="N145" i="50"/>
  <c r="N144" i="50"/>
  <c r="H180" i="40"/>
  <c r="H143" i="40"/>
  <c r="P180" i="40"/>
  <c r="P143" i="40"/>
  <c r="D133" i="41"/>
  <c r="B68" i="41"/>
  <c r="B67" i="41"/>
  <c r="B81" i="50"/>
  <c r="Q77" i="50"/>
  <c r="B79" i="50"/>
  <c r="F96" i="50"/>
  <c r="J96" i="50"/>
  <c r="N96" i="50"/>
  <c r="E131" i="50"/>
  <c r="E143" i="50" s="1"/>
  <c r="D145" i="50"/>
  <c r="D144" i="50"/>
  <c r="H145" i="50"/>
  <c r="H144" i="50"/>
  <c r="L145" i="50"/>
  <c r="L144" i="50"/>
  <c r="P145" i="50"/>
  <c r="M194" i="40"/>
  <c r="M193" i="40"/>
  <c r="J15" i="42"/>
  <c r="J35" i="42" s="1"/>
  <c r="F134" i="41"/>
  <c r="J134" i="41"/>
  <c r="H134" i="41"/>
  <c r="E146" i="42" l="1"/>
  <c r="E150" i="42" s="1"/>
  <c r="H146" i="42"/>
  <c r="H150" i="42" s="1"/>
  <c r="B16" i="40"/>
  <c r="Q27" i="53"/>
  <c r="D79" i="53" s="1"/>
  <c r="Q26" i="53"/>
  <c r="D78" i="53" s="1"/>
  <c r="Q25" i="53"/>
  <c r="D77" i="53" s="1"/>
  <c r="B81" i="53"/>
  <c r="O33" i="53"/>
  <c r="G33" i="53"/>
  <c r="Q123" i="41"/>
  <c r="B15" i="41" s="1"/>
  <c r="Q28" i="53"/>
  <c r="Q61" i="53"/>
  <c r="E79" i="53" s="1"/>
  <c r="Q59" i="53"/>
  <c r="E77" i="53" s="1"/>
  <c r="I33" i="53"/>
  <c r="M33" i="53"/>
  <c r="E33" i="53"/>
  <c r="P65" i="53"/>
  <c r="L65" i="53"/>
  <c r="H65" i="53"/>
  <c r="D65" i="53"/>
  <c r="P66" i="53"/>
  <c r="L66" i="53"/>
  <c r="H66" i="53"/>
  <c r="D66" i="53"/>
  <c r="P64" i="53"/>
  <c r="L64" i="53"/>
  <c r="H64" i="53"/>
  <c r="D64" i="53"/>
  <c r="M131" i="50"/>
  <c r="M143" i="50" s="1"/>
  <c r="K131" i="50"/>
  <c r="K143" i="50" s="1"/>
  <c r="K94" i="50"/>
  <c r="O131" i="50"/>
  <c r="O143" i="50" s="1"/>
  <c r="O94" i="50"/>
  <c r="G131" i="50"/>
  <c r="G143" i="50" s="1"/>
  <c r="G94" i="50"/>
  <c r="L129" i="40"/>
  <c r="L146" i="40" s="1"/>
  <c r="H129" i="40"/>
  <c r="H146" i="40" s="1"/>
  <c r="I129" i="40"/>
  <c r="I146" i="40" s="1"/>
  <c r="J129" i="40"/>
  <c r="J146" i="40" s="1"/>
  <c r="Q134" i="42"/>
  <c r="B133" i="42"/>
  <c r="J21" i="42"/>
  <c r="J19" i="42" s="1"/>
  <c r="J36" i="42" s="1"/>
  <c r="J18" i="42"/>
  <c r="Q132" i="50"/>
  <c r="P132" i="50"/>
  <c r="P144" i="50" s="1"/>
  <c r="Q144" i="50" s="1"/>
  <c r="Q140" i="42"/>
  <c r="Q141" i="42"/>
  <c r="D133" i="42"/>
  <c r="D145" i="42" s="1"/>
  <c r="D146" i="42"/>
  <c r="D150" i="42" s="1"/>
  <c r="G133" i="42"/>
  <c r="G145" i="42" s="1"/>
  <c r="C20" i="42"/>
  <c r="C21" i="42" s="1"/>
  <c r="C22" i="42" s="1"/>
  <c r="Q137" i="42"/>
  <c r="Q138" i="42"/>
  <c r="H133" i="42"/>
  <c r="H145" i="42" s="1"/>
  <c r="E149" i="42"/>
  <c r="B146" i="42"/>
  <c r="B150" i="42" s="1"/>
  <c r="Q135" i="42"/>
  <c r="Q146" i="42" s="1"/>
  <c r="O193" i="40"/>
  <c r="M133" i="42"/>
  <c r="M145" i="42" s="1"/>
  <c r="M146" i="42"/>
  <c r="M150" i="42" s="1"/>
  <c r="P181" i="40"/>
  <c r="Q181" i="40"/>
  <c r="D111" i="41" s="1"/>
  <c r="O122" i="41" s="1"/>
  <c r="N94" i="50"/>
  <c r="N131" i="50"/>
  <c r="N143" i="50" s="1"/>
  <c r="F94" i="50"/>
  <c r="F131" i="50"/>
  <c r="F143" i="50" s="1"/>
  <c r="H131" i="50"/>
  <c r="H143" i="50" s="1"/>
  <c r="H94" i="50"/>
  <c r="B194" i="40"/>
  <c r="Q194" i="40" s="1"/>
  <c r="Q182" i="40"/>
  <c r="C58" i="53"/>
  <c r="C50" i="53"/>
  <c r="F192" i="40"/>
  <c r="F40" i="53"/>
  <c r="D75" i="53"/>
  <c r="B66" i="53"/>
  <c r="Q49" i="53"/>
  <c r="B64" i="53"/>
  <c r="Q47" i="53"/>
  <c r="B96" i="50"/>
  <c r="Q79" i="50"/>
  <c r="B80" i="50" s="1"/>
  <c r="B97" i="50" s="1"/>
  <c r="D129" i="40"/>
  <c r="D146" i="40" s="1"/>
  <c r="D192" i="40"/>
  <c r="D40" i="53"/>
  <c r="M143" i="40"/>
  <c r="M180" i="40"/>
  <c r="E143" i="40"/>
  <c r="E180" i="40"/>
  <c r="Q29" i="53"/>
  <c r="D80" i="53" s="1"/>
  <c r="B33" i="53"/>
  <c r="I94" i="50"/>
  <c r="I131" i="50"/>
  <c r="I143" i="50" s="1"/>
  <c r="J16" i="41"/>
  <c r="J14" i="41" s="1"/>
  <c r="Q44" i="53"/>
  <c r="C79" i="53" s="1"/>
  <c r="C33" i="53"/>
  <c r="H192" i="40"/>
  <c r="H40" i="53"/>
  <c r="P131" i="50"/>
  <c r="P143" i="50" s="1"/>
  <c r="P94" i="50"/>
  <c r="B63" i="53"/>
  <c r="Q63" i="53" s="1"/>
  <c r="Q46" i="53"/>
  <c r="J94" i="50"/>
  <c r="J131" i="50"/>
  <c r="J143" i="50" s="1"/>
  <c r="P192" i="40"/>
  <c r="P40" i="53"/>
  <c r="L131" i="50"/>
  <c r="L143" i="50" s="1"/>
  <c r="L94" i="50"/>
  <c r="D131" i="50"/>
  <c r="D143" i="50" s="1"/>
  <c r="D94" i="50"/>
  <c r="C129" i="40"/>
  <c r="C146" i="40" s="1"/>
  <c r="Q129" i="40"/>
  <c r="Q146" i="40" s="1"/>
  <c r="B129" i="40"/>
  <c r="B146" i="40" s="1"/>
  <c r="N129" i="40"/>
  <c r="N146" i="40" s="1"/>
  <c r="F129" i="40"/>
  <c r="F146" i="40" s="1"/>
  <c r="M129" i="40"/>
  <c r="M146" i="40" s="1"/>
  <c r="E129" i="40"/>
  <c r="E146" i="40" s="1"/>
  <c r="C67" i="53"/>
  <c r="N192" i="40"/>
  <c r="N40" i="53"/>
  <c r="K129" i="40"/>
  <c r="K146" i="40" s="1"/>
  <c r="B65" i="53"/>
  <c r="Q48" i="53"/>
  <c r="Q16" i="53"/>
  <c r="B75" i="53"/>
  <c r="B82" i="53" s="1"/>
  <c r="B98" i="50"/>
  <c r="B133" i="50" s="1"/>
  <c r="Q81" i="50"/>
  <c r="Q98" i="50" s="1"/>
  <c r="P129" i="40"/>
  <c r="P146" i="40" s="1"/>
  <c r="B23" i="50"/>
  <c r="B20" i="50"/>
  <c r="L192" i="40"/>
  <c r="L40" i="53"/>
  <c r="B143" i="40"/>
  <c r="Q145" i="40"/>
  <c r="J192" i="40"/>
  <c r="J40" i="53"/>
  <c r="I143" i="40"/>
  <c r="I180" i="40"/>
  <c r="K57" i="53"/>
  <c r="K67" i="53" s="1"/>
  <c r="G57" i="53"/>
  <c r="G129" i="40"/>
  <c r="G146" i="40" s="1"/>
  <c r="Q42" i="53"/>
  <c r="C77" i="53" s="1"/>
  <c r="Q133" i="41"/>
  <c r="D81" i="53"/>
  <c r="D33" i="53"/>
  <c r="Q65" i="53" l="1"/>
  <c r="Q64" i="53"/>
  <c r="Q66" i="53"/>
  <c r="Q33" i="53"/>
  <c r="Q150" i="42"/>
  <c r="D110" i="41"/>
  <c r="P122" i="41" s="1"/>
  <c r="P193" i="40"/>
  <c r="Q193" i="40" s="1"/>
  <c r="D108" i="41"/>
  <c r="D122" i="41" s="1"/>
  <c r="C23" i="42"/>
  <c r="C24" i="42" s="1"/>
  <c r="B19" i="42" s="1"/>
  <c r="B36" i="42" s="1"/>
  <c r="M149" i="42"/>
  <c r="M45" i="53"/>
  <c r="M62" i="53" s="1"/>
  <c r="H45" i="53"/>
  <c r="H62" i="53" s="1"/>
  <c r="H149" i="42"/>
  <c r="D149" i="42"/>
  <c r="D45" i="53"/>
  <c r="D62" i="53" s="1"/>
  <c r="Q133" i="42"/>
  <c r="B145" i="42"/>
  <c r="D109" i="41"/>
  <c r="G45" i="53"/>
  <c r="G149" i="42"/>
  <c r="H57" i="53"/>
  <c r="B17" i="41"/>
  <c r="B16" i="41"/>
  <c r="M40" i="53"/>
  <c r="M192" i="40"/>
  <c r="D57" i="53"/>
  <c r="F50" i="53"/>
  <c r="F57" i="53"/>
  <c r="F67" i="53" s="1"/>
  <c r="D134" i="41"/>
  <c r="D41" i="53"/>
  <c r="D58" i="53" s="1"/>
  <c r="Q143" i="40"/>
  <c r="B60" i="41"/>
  <c r="B18" i="41" s="1"/>
  <c r="B61" i="41"/>
  <c r="J50" i="53"/>
  <c r="J57" i="53"/>
  <c r="J67" i="53" s="1"/>
  <c r="Q180" i="40"/>
  <c r="B37" i="40" s="1"/>
  <c r="B40" i="53"/>
  <c r="E40" i="53"/>
  <c r="E192" i="40"/>
  <c r="C81" i="53"/>
  <c r="D82" i="53"/>
  <c r="P134" i="41"/>
  <c r="P41" i="53"/>
  <c r="P58" i="53" s="1"/>
  <c r="L50" i="53"/>
  <c r="L57" i="53"/>
  <c r="L67" i="53" s="1"/>
  <c r="N50" i="53"/>
  <c r="N57" i="53"/>
  <c r="N67" i="53" s="1"/>
  <c r="C80" i="50"/>
  <c r="C97" i="50" s="1"/>
  <c r="Q80" i="50"/>
  <c r="Q97" i="50" s="1"/>
  <c r="D80" i="50"/>
  <c r="D97" i="50" s="1"/>
  <c r="L80" i="50"/>
  <c r="L97" i="50" s="1"/>
  <c r="K80" i="50"/>
  <c r="K97" i="50" s="1"/>
  <c r="F80" i="50"/>
  <c r="F97" i="50" s="1"/>
  <c r="N80" i="50"/>
  <c r="N97" i="50" s="1"/>
  <c r="E80" i="50"/>
  <c r="E97" i="50" s="1"/>
  <c r="G80" i="50"/>
  <c r="G97" i="50" s="1"/>
  <c r="H80" i="50"/>
  <c r="H97" i="50" s="1"/>
  <c r="P80" i="50"/>
  <c r="P97" i="50" s="1"/>
  <c r="J80" i="50"/>
  <c r="J97" i="50" s="1"/>
  <c r="O80" i="50"/>
  <c r="O97" i="50" s="1"/>
  <c r="I80" i="50"/>
  <c r="I97" i="50" s="1"/>
  <c r="M80" i="50"/>
  <c r="M97" i="50" s="1"/>
  <c r="I40" i="53"/>
  <c r="I192" i="40"/>
  <c r="Q133" i="50"/>
  <c r="B145" i="50"/>
  <c r="Q145" i="50" s="1"/>
  <c r="P50" i="53"/>
  <c r="P57" i="53"/>
  <c r="J17" i="41"/>
  <c r="J20" i="41"/>
  <c r="B94" i="50"/>
  <c r="Q94" i="50" s="1"/>
  <c r="B131" i="50"/>
  <c r="Q96" i="50"/>
  <c r="E81" i="53"/>
  <c r="O41" i="53"/>
  <c r="O134" i="41"/>
  <c r="B122" i="41" l="1"/>
  <c r="B134" i="41" s="1"/>
  <c r="Q134" i="41" s="1"/>
  <c r="C54" i="41" s="1"/>
  <c r="H67" i="53"/>
  <c r="B35" i="40"/>
  <c r="B45" i="40"/>
  <c r="B38" i="40"/>
  <c r="P67" i="53"/>
  <c r="B41" i="53"/>
  <c r="B58" i="53" s="1"/>
  <c r="B45" i="53"/>
  <c r="B149" i="42"/>
  <c r="Q149" i="42" s="1"/>
  <c r="C69" i="42" s="1"/>
  <c r="G62" i="53"/>
  <c r="G50" i="53"/>
  <c r="H50" i="53"/>
  <c r="D54" i="41"/>
  <c r="D50" i="53"/>
  <c r="Q192" i="40"/>
  <c r="B107" i="40" s="1"/>
  <c r="B17" i="40" s="1"/>
  <c r="B19" i="41"/>
  <c r="B143" i="50"/>
  <c r="Q143" i="50" s="1"/>
  <c r="C55" i="50" s="1"/>
  <c r="D55" i="50" s="1"/>
  <c r="Q131" i="50"/>
  <c r="Q134" i="50" s="1"/>
  <c r="Q135" i="50" s="1"/>
  <c r="J19" i="41"/>
  <c r="J21" i="41" s="1"/>
  <c r="E54" i="41" s="1"/>
  <c r="J15" i="41"/>
  <c r="J18" i="41" s="1"/>
  <c r="I50" i="53"/>
  <c r="I57" i="53"/>
  <c r="I67" i="53" s="1"/>
  <c r="J16" i="40"/>
  <c r="J38" i="40"/>
  <c r="B66" i="40"/>
  <c r="E50" i="53"/>
  <c r="E57" i="53"/>
  <c r="E67" i="53" s="1"/>
  <c r="Q41" i="53"/>
  <c r="C76" i="53" s="1"/>
  <c r="M50" i="53"/>
  <c r="M57" i="53"/>
  <c r="M67" i="53" s="1"/>
  <c r="O58" i="53"/>
  <c r="O67" i="53" s="1"/>
  <c r="O50" i="53"/>
  <c r="Q40" i="53"/>
  <c r="B57" i="53"/>
  <c r="Q183" i="40"/>
  <c r="Q184" i="40" s="1"/>
  <c r="D67" i="53"/>
  <c r="Q58" i="53" l="1"/>
  <c r="E76" i="53" s="1"/>
  <c r="Q122" i="41"/>
  <c r="Q124" i="41" s="1"/>
  <c r="Q125" i="41" s="1"/>
  <c r="B21" i="40"/>
  <c r="B18" i="40"/>
  <c r="B39" i="40"/>
  <c r="B43" i="40"/>
  <c r="B46" i="40" s="1"/>
  <c r="B36" i="40"/>
  <c r="B44" i="40" s="1"/>
  <c r="B47" i="40"/>
  <c r="B48" i="40" s="1"/>
  <c r="B50" i="53"/>
  <c r="G67" i="53"/>
  <c r="C70" i="42"/>
  <c r="D69" i="42"/>
  <c r="E69" i="42"/>
  <c r="Q45" i="53"/>
  <c r="C80" i="53" s="1"/>
  <c r="B62" i="53"/>
  <c r="Q62" i="53" s="1"/>
  <c r="E80" i="53" s="1"/>
  <c r="E55" i="41"/>
  <c r="E56" i="41"/>
  <c r="Q57" i="53"/>
  <c r="B67" i="53"/>
  <c r="C75" i="53"/>
  <c r="C82" i="53" s="1"/>
  <c r="C83" i="53" s="1"/>
  <c r="Q50" i="53"/>
  <c r="D56" i="50"/>
  <c r="D57" i="50"/>
  <c r="J22" i="41"/>
  <c r="D56" i="41"/>
  <c r="D55" i="41"/>
  <c r="C101" i="40"/>
  <c r="E71" i="42" l="1"/>
  <c r="E70" i="42"/>
  <c r="D71" i="42"/>
  <c r="D70" i="42"/>
  <c r="E75" i="53"/>
  <c r="E82" i="53" s="1"/>
  <c r="E83" i="53" s="1"/>
  <c r="Q67" i="53"/>
  <c r="G101" i="40"/>
  <c r="B67" i="40"/>
  <c r="J17" i="40"/>
  <c r="J46" i="40"/>
  <c r="H101" i="40" s="1"/>
  <c r="J39" i="40"/>
  <c r="J41" i="40" s="1"/>
  <c r="B40" i="40"/>
  <c r="B41" i="40" s="1"/>
  <c r="H103" i="40" l="1"/>
  <c r="H102" i="40"/>
  <c r="D101" i="40"/>
  <c r="B71" i="40"/>
  <c r="F101" i="40" s="1"/>
  <c r="B68" i="40"/>
  <c r="G102" i="40"/>
  <c r="G103" i="40"/>
  <c r="J21" i="40"/>
  <c r="E101" i="40" s="1"/>
  <c r="J18" i="40"/>
  <c r="F103" i="40" l="1"/>
  <c r="F102" i="40"/>
  <c r="D103" i="40"/>
  <c r="D102" i="40"/>
  <c r="E102" i="40"/>
  <c r="E103" i="40"/>
</calcChain>
</file>

<file path=xl/comments1.xml><?xml version="1.0" encoding="utf-8"?>
<comments xmlns="http://schemas.openxmlformats.org/spreadsheetml/2006/main">
  <authors>
    <author>meynaere</author>
  </authors>
  <commentList>
    <comment ref="B74" authorId="0">
      <text>
        <r>
          <rPr>
            <b/>
            <sz val="9"/>
            <color indexed="81"/>
            <rFont val="Tahoma"/>
            <family val="2"/>
          </rPr>
          <t>meynaere:</t>
        </r>
        <r>
          <rPr>
            <sz val="9"/>
            <color indexed="81"/>
            <rFont val="Tahoma"/>
            <family val="2"/>
          </rPr>
          <t xml:space="preserve">
1.538 graaddagen</t>
        </r>
      </text>
    </comment>
    <comment ref="C74" authorId="0">
      <text>
        <r>
          <rPr>
            <b/>
            <sz val="9"/>
            <color indexed="81"/>
            <rFont val="Tahoma"/>
            <family val="2"/>
          </rPr>
          <t>meynaere:</t>
        </r>
        <r>
          <rPr>
            <sz val="9"/>
            <color indexed="81"/>
            <rFont val="Tahoma"/>
            <family val="2"/>
          </rPr>
          <t xml:space="preserve">
1.799 graaddagen</t>
        </r>
      </text>
    </comment>
  </commentList>
</comments>
</file>

<file path=xl/comments2.xml><?xml version="1.0" encoding="utf-8"?>
<comments xmlns="http://schemas.openxmlformats.org/spreadsheetml/2006/main">
  <authors>
    <author>Renders Nele</author>
  </authors>
  <commentList>
    <comment ref="B100" authorId="0">
      <text>
        <r>
          <rPr>
            <b/>
            <sz val="9"/>
            <color indexed="81"/>
            <rFont val="Tahoma"/>
            <family val="2"/>
          </rPr>
          <t>Renders Nele:</t>
        </r>
        <r>
          <rPr>
            <sz val="9"/>
            <color indexed="81"/>
            <rFont val="Tahoma"/>
            <family val="2"/>
          </rPr>
          <t xml:space="preserve">
reële graaddagen 
</t>
        </r>
      </text>
    </comment>
    <comment ref="C100" authorId="0">
      <text>
        <r>
          <rPr>
            <b/>
            <sz val="9"/>
            <color indexed="81"/>
            <rFont val="Tahoma"/>
            <family val="2"/>
          </rPr>
          <t>Renders Nele:</t>
        </r>
        <r>
          <rPr>
            <sz val="9"/>
            <color indexed="81"/>
            <rFont val="Tahoma"/>
            <family val="2"/>
          </rPr>
          <t xml:space="preserve">
1.799 graaddagen
</t>
        </r>
      </text>
    </comment>
    <comment ref="A161" authorId="0">
      <text>
        <r>
          <rPr>
            <b/>
            <sz val="9"/>
            <color indexed="81"/>
            <rFont val="Tahoma"/>
            <family val="2"/>
          </rPr>
          <t>Renders Nele:</t>
        </r>
        <r>
          <rPr>
            <sz val="9"/>
            <color indexed="81"/>
            <rFont val="Tahoma"/>
            <family val="2"/>
          </rPr>
          <t xml:space="preserve">
BEN = Bijna Energie Neutraal Gebouw</t>
        </r>
      </text>
    </comment>
    <comment ref="B161" authorId="0">
      <text>
        <r>
          <rPr>
            <b/>
            <sz val="9"/>
            <color indexed="81"/>
            <rFont val="Tahoma"/>
            <family val="2"/>
          </rPr>
          <t>Renders Nele:</t>
        </r>
        <r>
          <rPr>
            <sz val="9"/>
            <color indexed="81"/>
            <rFont val="Tahoma"/>
            <family val="2"/>
          </rPr>
          <t xml:space="preserve">
NEB = Netto Energie Behoefte</t>
        </r>
      </text>
    </comment>
  </commentList>
</comments>
</file>

<file path=xl/comments3.xml><?xml version="1.0" encoding="utf-8"?>
<comments xmlns="http://schemas.openxmlformats.org/spreadsheetml/2006/main">
  <authors>
    <author>Renders Nele</author>
  </authors>
  <commentList>
    <comment ref="B53" authorId="0">
      <text>
        <r>
          <rPr>
            <b/>
            <sz val="9"/>
            <color indexed="81"/>
            <rFont val="Tahoma"/>
            <family val="2"/>
          </rPr>
          <t>Renders Nele:</t>
        </r>
        <r>
          <rPr>
            <sz val="9"/>
            <color indexed="81"/>
            <rFont val="Tahoma"/>
            <family val="2"/>
          </rPr>
          <t xml:space="preserve">
reële graaddagen 
</t>
        </r>
      </text>
    </comment>
    <comment ref="C53" authorId="0">
      <text>
        <r>
          <rPr>
            <b/>
            <sz val="9"/>
            <color indexed="81"/>
            <rFont val="Tahoma"/>
            <family val="2"/>
          </rPr>
          <t>Renders Nele:</t>
        </r>
        <r>
          <rPr>
            <sz val="9"/>
            <color indexed="81"/>
            <rFont val="Tahoma"/>
            <family val="2"/>
          </rPr>
          <t xml:space="preserve">
1.799 graaddagen
</t>
        </r>
      </text>
    </comment>
  </commentList>
</comments>
</file>

<file path=xl/comments4.xml><?xml version="1.0" encoding="utf-8"?>
<comments xmlns="http://schemas.openxmlformats.org/spreadsheetml/2006/main">
  <authors>
    <author>Renders Nele</author>
  </authors>
  <commentList>
    <comment ref="B54" authorId="0">
      <text>
        <r>
          <rPr>
            <b/>
            <sz val="9"/>
            <color indexed="81"/>
            <rFont val="Tahoma"/>
            <family val="2"/>
          </rPr>
          <t>Renders Nele:</t>
        </r>
        <r>
          <rPr>
            <sz val="9"/>
            <color indexed="81"/>
            <rFont val="Tahoma"/>
            <family val="2"/>
          </rPr>
          <t xml:space="preserve">
reële graaddagen
</t>
        </r>
      </text>
    </comment>
    <comment ref="C54" authorId="0">
      <text>
        <r>
          <rPr>
            <b/>
            <sz val="9"/>
            <color indexed="81"/>
            <rFont val="Tahoma"/>
            <family val="2"/>
          </rPr>
          <t>Renders Nele:</t>
        </r>
        <r>
          <rPr>
            <sz val="9"/>
            <color indexed="81"/>
            <rFont val="Tahoma"/>
            <family val="2"/>
          </rPr>
          <t xml:space="preserve">
1.799 graaddagen
</t>
        </r>
      </text>
    </comment>
    <comment ref="A112" authorId="0">
      <text>
        <r>
          <rPr>
            <b/>
            <sz val="9"/>
            <color indexed="81"/>
            <rFont val="Tahoma"/>
            <family val="2"/>
          </rPr>
          <t>Renders Nele:</t>
        </r>
        <r>
          <rPr>
            <sz val="9"/>
            <color indexed="81"/>
            <rFont val="Tahoma"/>
            <family val="2"/>
          </rPr>
          <t xml:space="preserve">
BEN = Bijna Energie Neutraal Gebouw</t>
        </r>
      </text>
    </comment>
    <comment ref="B112" authorId="0">
      <text>
        <r>
          <rPr>
            <b/>
            <sz val="9"/>
            <color indexed="81"/>
            <rFont val="Tahoma"/>
            <family val="2"/>
          </rPr>
          <t>Renders Nele:</t>
        </r>
        <r>
          <rPr>
            <sz val="9"/>
            <color indexed="81"/>
            <rFont val="Tahoma"/>
            <family val="2"/>
          </rPr>
          <t xml:space="preserve">
NEB = Netto Energie Behoefte</t>
        </r>
      </text>
    </comment>
  </commentList>
</comments>
</file>

<file path=xl/sharedStrings.xml><?xml version="1.0" encoding="utf-8"?>
<sst xmlns="http://schemas.openxmlformats.org/spreadsheetml/2006/main" count="2059" uniqueCount="833">
  <si>
    <t>Huishoudens</t>
  </si>
  <si>
    <t>Aantal huishoudens</t>
  </si>
  <si>
    <t>Elektriciteit</t>
  </si>
  <si>
    <t>Andere industrie</t>
  </si>
  <si>
    <t>Chemie</t>
  </si>
  <si>
    <t>Ijzer- en staalnijverheid</t>
  </si>
  <si>
    <t>Metaalverwerkende nijverheid</t>
  </si>
  <si>
    <t>Minerale niet-metaalproducten</t>
  </si>
  <si>
    <t>Non-ferro</t>
  </si>
  <si>
    <t>Papier en uitgeverijen</t>
  </si>
  <si>
    <t>Textiel, leder en kleding</t>
  </si>
  <si>
    <t>Voeding, dranken en tabak</t>
  </si>
  <si>
    <t>Andere gemeenschaps-, sociale en persoonlijke dienstverlening</t>
  </si>
  <si>
    <t>Gezondheidszorg en maatschappelijke dienstverlening</t>
  </si>
  <si>
    <t>Handel</t>
  </si>
  <si>
    <t>Horeca</t>
  </si>
  <si>
    <t>Kantoren en administraties</t>
  </si>
  <si>
    <t>Onderwijs</t>
  </si>
  <si>
    <t>Genummerde wegen</t>
  </si>
  <si>
    <t>Lichte vrachtwagens</t>
  </si>
  <si>
    <t>Personenwagens</t>
  </si>
  <si>
    <t>Zware vrachtwagens</t>
  </si>
  <si>
    <t>Niet-genummerde wegen</t>
  </si>
  <si>
    <t>Snelwegen</t>
  </si>
  <si>
    <t>aardgas</t>
  </si>
  <si>
    <t>elektriciteit</t>
  </si>
  <si>
    <t>Zonneboiler</t>
  </si>
  <si>
    <t>Totaal</t>
  </si>
  <si>
    <t>LPG</t>
  </si>
  <si>
    <t>Benzine</t>
  </si>
  <si>
    <t>MWh</t>
  </si>
  <si>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</si>
  <si>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</si>
  <si>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</si>
  <si>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</si>
  <si>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</si>
  <si>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</si>
  <si>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</si>
  <si>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</si>
  <si>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</si>
  <si>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</si>
  <si>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</si>
  <si>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</si>
  <si>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</si>
  <si>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</si>
  <si>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</si>
  <si>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CO2 (t/MWh) default IPCC 2006</t>
  </si>
  <si>
    <t>CO2 (t/MWh)  te gebruiken</t>
  </si>
  <si>
    <t>Categorie</t>
  </si>
  <si>
    <t>Woningen</t>
  </si>
  <si>
    <t xml:space="preserve"> </t>
  </si>
  <si>
    <t>REST tertiair</t>
  </si>
  <si>
    <t>huishoudelijk afval (niet-hernieuwbaar deel)</t>
  </si>
  <si>
    <t>Voertuigtype</t>
  </si>
  <si>
    <t>CNG</t>
  </si>
  <si>
    <t>Electric</t>
  </si>
  <si>
    <t>Petrol</t>
  </si>
  <si>
    <t>Petrol Hybrid CS</t>
  </si>
  <si>
    <t>electric</t>
  </si>
  <si>
    <t>Wegtype</t>
  </si>
  <si>
    <t>Brandstoftechnologie</t>
  </si>
  <si>
    <t>Brandstof</t>
  </si>
  <si>
    <t>EnergieConsumptieFactor (PJ per km)</t>
  </si>
  <si>
    <t>Diesel Hybrid CS</t>
  </si>
  <si>
    <t>Diesel Hybrid PHEV</t>
  </si>
  <si>
    <t>Petrol Hybrid PHEV</t>
  </si>
  <si>
    <t>Voertuigtype_wegtype</t>
  </si>
  <si>
    <t>Tram</t>
  </si>
  <si>
    <t>Bus</t>
  </si>
  <si>
    <t>gemiddeld</t>
  </si>
  <si>
    <t>p.a.</t>
  </si>
  <si>
    <t>correctie % groei toegevoegde waarde in 2020 t.o.v. basisjaar</t>
  </si>
  <si>
    <t>% groei 2020 t.o.v. 2011</t>
  </si>
  <si>
    <t>FINAAL ENERGIEVERBRUIK [MWh]</t>
  </si>
  <si>
    <t>Tool Ondersteuning Burgemeestersconvenant</t>
  </si>
  <si>
    <t>Doel</t>
  </si>
  <si>
    <t>Contact</t>
  </si>
  <si>
    <t>Algemene opbouw tool</t>
  </si>
  <si>
    <t>INPUT--&gt;</t>
  </si>
  <si>
    <t>sheet</t>
  </si>
  <si>
    <t xml:space="preserve">Oranje </t>
  </si>
  <si>
    <t xml:space="preserve">velden die gebruiker zelf moet invullen </t>
  </si>
  <si>
    <t>Betekenis kleuren cellen</t>
  </si>
  <si>
    <t>kleur</t>
  </si>
  <si>
    <t>gebruik</t>
  </si>
  <si>
    <t>beschrijving</t>
  </si>
  <si>
    <t>Beschrijving sheets INPUT --&gt;</t>
  </si>
  <si>
    <t xml:space="preserve">% groei toegevoegde waarde in 2020 t.o.v. basisjaar </t>
  </si>
  <si>
    <t xml:space="preserve">Kantoren en administraties </t>
  </si>
  <si>
    <t>Autonome ketelvervanging</t>
  </si>
  <si>
    <t>[# HH]</t>
  </si>
  <si>
    <t>[Bron]</t>
  </si>
  <si>
    <t>Verbruik verwarming en SWW</t>
  </si>
  <si>
    <t>Verbruik ELE toestellen en verlichting</t>
  </si>
  <si>
    <t>Aandeel energiebron [%]</t>
  </si>
  <si>
    <t>[Aannames]</t>
  </si>
  <si>
    <t>Gemiddelde Vlaanderen</t>
  </si>
  <si>
    <t>KMI</t>
  </si>
  <si>
    <t>1. Aandeel in finaal verbruik - Verwarming</t>
  </si>
  <si>
    <t>2. Graaddagen 15/15 in 2020</t>
  </si>
  <si>
    <t xml:space="preserve">    Aandeel in finaal verbruik - SWW</t>
  </si>
  <si>
    <t xml:space="preserve">    Graaddagen 15/15 in 2011</t>
  </si>
  <si>
    <t>[Bron - informatie]</t>
  </si>
  <si>
    <t>[Informatie]</t>
  </si>
  <si>
    <t>1. Evolutie E-peil naar Energie BEN (E30)</t>
  </si>
  <si>
    <t>[m²]</t>
  </si>
  <si>
    <t>HH = Huishoudens</t>
  </si>
  <si>
    <t>Warmtepomp (mix lucht en grond)</t>
  </si>
  <si>
    <t>2011 = Vlaamse gemiddelde</t>
  </si>
  <si>
    <t>Elektrische toestellen en verlichting</t>
  </si>
  <si>
    <t>3. Installatiemix nieuwbouw</t>
  </si>
  <si>
    <t>1. Aandeel verwarming en SWW in finaal ELE verbruik</t>
  </si>
  <si>
    <t xml:space="preserve">    Aandeel elektrische toestellen en verlichting in finaal ELE verbruik</t>
  </si>
  <si>
    <t>Demografische evolutie</t>
  </si>
  <si>
    <t>Bestaande woningen: Autonome vervangingen verwarmingsinstallaties</t>
  </si>
  <si>
    <t>Elektrische toestellen en verlichting: Europese Ecodesign Richtlijn</t>
  </si>
  <si>
    <t>Gemiddelde installatierendement [%]</t>
  </si>
  <si>
    <t>2011 = Vlaamse gemiddelden</t>
  </si>
  <si>
    <t>Nieuwbouw: Europees Energieprestatiebeleid en Hernieuwbaar Energiebeleid</t>
  </si>
  <si>
    <t xml:space="preserve">2020 = Verplichting hernieuwbare energie vanaf 2014 </t>
  </si>
  <si>
    <t>2020 = BEN = E30 (Zeer lage E-woning)</t>
  </si>
  <si>
    <t>http://ec.europa.eu/enterprise/policies/sustainable-business/ecodesign/product-groups/index_en.htm</t>
  </si>
  <si>
    <t>0.5% per jaar</t>
  </si>
  <si>
    <t xml:space="preserve">Verwachte, autonome besparing </t>
  </si>
  <si>
    <t>Gemiddeld inst.rendement nieuwbouw</t>
  </si>
  <si>
    <t>Vlaamse gemiddelden 1996 -2011:174m²; -1% daling per jaar</t>
  </si>
  <si>
    <t>NEB voor verwarming per m² [kWh/m²]</t>
  </si>
  <si>
    <t>NEB voor SWW [kWh/HH]</t>
  </si>
  <si>
    <t>[%]</t>
  </si>
  <si>
    <t>Bestaande woningen - SWW en verwarming</t>
  </si>
  <si>
    <t>Overige bemerkingen</t>
  </si>
  <si>
    <t>Sloop impact is te verwaarlozen, gezien zeer laag aandeel in bestaande woningpark</t>
  </si>
  <si>
    <t>Nieuwbouw - SWW en verwarming</t>
  </si>
  <si>
    <t xml:space="preserve">Ter vergelijking: </t>
  </si>
  <si>
    <t>[Aandeel % van HH in jaar xx]</t>
  </si>
  <si>
    <t>van de HH in 2020 in Vlaanderen volgens REG-beleid</t>
  </si>
  <si>
    <t>Bijkomende dakisolaties tussen 2011 -2020</t>
  </si>
  <si>
    <t>aantal HH</t>
  </si>
  <si>
    <t>Gemiddelde installatierendement WP (bodem en lucht)</t>
  </si>
  <si>
    <t>Bijkomende warmtepompen tussen 2011-2020</t>
  </si>
  <si>
    <t>aantal HH in 2020 warmtepomp geplaatst tussen 2011-2020</t>
  </si>
  <si>
    <t>Totale besparing t.o.v. BAU in 2020</t>
  </si>
  <si>
    <t>emissiefactoren  [t/MWh]</t>
  </si>
  <si>
    <t>[t/MWh]</t>
  </si>
  <si>
    <t>Gemiddelde emissiefactoren BAU -scenario in 2020</t>
  </si>
  <si>
    <t>Totale emissiereductie t.o.v. BAU in 2020</t>
  </si>
  <si>
    <t>Gemiddelde kost per emissiereductie t.o.v. BAU in 2020</t>
  </si>
  <si>
    <t>Gemiddelde besparing per dakisolatie t.o.v. BAU</t>
  </si>
  <si>
    <t>Gemiddelde emissiereductie per dakisolatie t.o.v. BAU</t>
  </si>
  <si>
    <t>Gemiddelde investeringskost per WP t.o.v. BAU</t>
  </si>
  <si>
    <t>Gemiddelde installatierendement BAU-scenario in 2020</t>
  </si>
  <si>
    <t>Zie assumpties BAU scenario</t>
  </si>
  <si>
    <t>kWh, toename geothermische energie</t>
  </si>
  <si>
    <t>Gemiddelde emissiereductie per WP t.o.v. BAU</t>
  </si>
  <si>
    <t>Gemiddelde besparing per WP t.o.v. BAU</t>
  </si>
  <si>
    <t xml:space="preserve">kWh, finale besparing andere brandstoffen </t>
  </si>
  <si>
    <t>ton CO2, toename emissies ELE</t>
  </si>
  <si>
    <t>ton CO2, reducties andere brandstoffen</t>
  </si>
  <si>
    <t>MWh, toename finaal verbruik ELE</t>
  </si>
  <si>
    <t>MWh, toename geothermische energie</t>
  </si>
  <si>
    <t>MWh, finale besparing andere brandstoffen</t>
  </si>
  <si>
    <t>Totale emissiereducties t.o.v. BAU in 2020</t>
  </si>
  <si>
    <t xml:space="preserve">ton CO2 reductie per dakisolatie </t>
  </si>
  <si>
    <t>kWh per dakisolatie</t>
  </si>
  <si>
    <t>€/ton CO2 reductie</t>
  </si>
  <si>
    <t xml:space="preserve">ton CO2 reductie </t>
  </si>
  <si>
    <t>Discontovoet</t>
  </si>
  <si>
    <t>Levensduur</t>
  </si>
  <si>
    <t>jaar</t>
  </si>
  <si>
    <t>BAU 2020</t>
  </si>
  <si>
    <t>Zie berekeningen BAU scenario</t>
  </si>
  <si>
    <t>Impact bijkomende maatregelen in 2020</t>
  </si>
  <si>
    <t>Bijkomende implementatie 2011 - 2020</t>
  </si>
  <si>
    <t>Beschrijving</t>
  </si>
  <si>
    <t>Gemiddelde investeringskost per dakisolatie t.o.v. BAU</t>
  </si>
  <si>
    <t>Kenmerken maatregel</t>
  </si>
  <si>
    <t>Impact maatregel</t>
  </si>
  <si>
    <t>Isolatie: Plaatsen van dakisolatie</t>
  </si>
  <si>
    <t>Isolatie: Plaatsen van muurisolatie</t>
  </si>
  <si>
    <t>Isolatie: Plaatsen van betere beglazing</t>
  </si>
  <si>
    <t>Impact maatregel t.o.v. BAU in 2020</t>
  </si>
  <si>
    <t>ton CO2 reductie</t>
  </si>
  <si>
    <t>Verwarmingsinstallatie: Plaatsen van zonneboiler</t>
  </si>
  <si>
    <t>Algemene aannames - Bijkomende maatregelen</t>
  </si>
  <si>
    <t xml:space="preserve">BAU-scenario 2020 </t>
  </si>
  <si>
    <t>Samenvatting Impact CO2 in 2020</t>
  </si>
  <si>
    <t>Nulmeting 2011</t>
  </si>
  <si>
    <t>Nulmeting</t>
  </si>
  <si>
    <t>Cte 2010 - 2020 (Cte comfortniveau)</t>
  </si>
  <si>
    <t>2. Bruto Vloeroppervlakte BVO</t>
  </si>
  <si>
    <t xml:space="preserve">Benutte zonne-energie per gemiddeld HH </t>
  </si>
  <si>
    <t>60% van NEB-SWW wordt opgewekt door zonneboiler, bij 6% v/dgezinnen</t>
  </si>
  <si>
    <t>Nieuwbouw is doorgerekend met  gemiddelde eigenschappen van woningen &amp; installaties in 2011 en 2020.</t>
  </si>
  <si>
    <t>[kWh/HH]</t>
  </si>
  <si>
    <t>Warmtepomp (lucht en grond) = 320%; Aardgasketel = 88%</t>
  </si>
  <si>
    <t>Bijkomende muurisolaties tussen 2011 -2020</t>
  </si>
  <si>
    <t>Gemiddelde investeringskost per muurisolatie t.o.v. BAU</t>
  </si>
  <si>
    <t>Gemiddelde besparing per muurisolatie t.o.v. BAU</t>
  </si>
  <si>
    <t>kWh per muurisolatie</t>
  </si>
  <si>
    <t>Gemiddelde emissiereductie per muurisolatie t.o.v. BAU</t>
  </si>
  <si>
    <t xml:space="preserve">ton CO2 reductie per muurisolatie </t>
  </si>
  <si>
    <t>Dakoppervlakte</t>
  </si>
  <si>
    <t>m² gemiddeld per dak</t>
  </si>
  <si>
    <t>Muuroppervlakte</t>
  </si>
  <si>
    <t>m² gemiddeld per woning</t>
  </si>
  <si>
    <t>Analoge eisen als Vlaams REG beleid geldig vanaf 1 jan. 2013: U = 0.55 W/ K.m²  (50% spouw-/50% buitenmuurisolatie)</t>
  </si>
  <si>
    <r>
      <t>(Buitenmuurisolatie: U = 0.5 W/K m²; Spouwmuurisolatie: U = 0.6 W/m²K (</t>
    </r>
    <r>
      <rPr>
        <sz val="11"/>
        <color theme="1"/>
        <rFont val="Calibri"/>
        <family val="2"/>
      </rPr>
      <t>λ</t>
    </r>
    <r>
      <rPr>
        <sz val="11"/>
        <color theme="1"/>
        <rFont val="Calibri"/>
        <family val="2"/>
        <scheme val="minor"/>
      </rPr>
      <t>= 0.045; 6 cm spouw))</t>
    </r>
  </si>
  <si>
    <t>Bemerkingen</t>
  </si>
  <si>
    <t>Investeringskost: Zuiver de kost van isolatiemateriaal &amp; dampscherm.  Voorbereidende werken en vereiste afwerkingen bij hellend dak en plat dak niet meegerekend,</t>
  </si>
  <si>
    <t>zoals plaatsting van gipskartonplaten en bitumineuze afdichting.</t>
  </si>
  <si>
    <t xml:space="preserve">(= mediaan: R = 3.5; R = 4 of R = 4.5) </t>
  </si>
  <si>
    <t>Analoge eisen als Vlaamse REG beleid geldig vanaf 1 januari 2013: U = 0.25 W/K m²</t>
  </si>
  <si>
    <t>van de HH in 2020 hebben muurisolatie geplaatst tussen 2011-2020</t>
  </si>
  <si>
    <t>Glasoppervlak</t>
  </si>
  <si>
    <t>Gemiddelde besparing brandstofkosten per dakisolatie t.o.v. BAU</t>
  </si>
  <si>
    <t>Gemiddelde besparing brandstofkosten per muurisolatie t.o.v. BAU</t>
  </si>
  <si>
    <t>Bijkomende maatregelen tussen 2011 -2020</t>
  </si>
  <si>
    <t>van de HH in 2020 hebben maatregel geplaatst tussen 2011-2020</t>
  </si>
  <si>
    <t>Gemiddelde investeringskost per maatregel t.o.v. BAU</t>
  </si>
  <si>
    <t>Gemiddelde besparing per maatregel t.o.v. BAU</t>
  </si>
  <si>
    <t>kWh per maatregel</t>
  </si>
  <si>
    <t>Gemiddelde emissiereductie per maatregel t.o.v. BAU</t>
  </si>
  <si>
    <t xml:space="preserve">ton CO2 reductie per maatregel </t>
  </si>
  <si>
    <t>Gemiddelde besparing brandstofkosten per maatregel t.o.v. BAU</t>
  </si>
  <si>
    <t>Exclusief vervanging van raamkader</t>
  </si>
  <si>
    <t>Analoge eisen als Vlaamse REG beleid geldig vanaf 1 jan. 2013 (U = 1.1 W/K m²)</t>
  </si>
  <si>
    <t>Incl. afgifte-, regel- en distributierendement</t>
  </si>
  <si>
    <t>Zowel bodem -als luchtwarmtepomp; bij voldoende lage warmtevraag</t>
  </si>
  <si>
    <t>Gemiddelde eigenschappen van lucht- en grondgekoppelde warmtepomp: rendement en investeringskost.</t>
  </si>
  <si>
    <t>Elektrische verwarming</t>
  </si>
  <si>
    <t>Gemiddelde besparing brandstofkosten per WP t.o.v. BAU</t>
  </si>
  <si>
    <t>Gemiddelde energieprijzen BAU-scenario in 2020</t>
  </si>
  <si>
    <t>Emissies CO2 in 2020 [ton] volgens …</t>
  </si>
  <si>
    <t>BAU 2020 + Dakisolatie</t>
  </si>
  <si>
    <t>BAU 2020 + Muurisolatie</t>
  </si>
  <si>
    <t>BAU 2020 + Betere beglazing</t>
  </si>
  <si>
    <t>BAU 2020 + Warmtepomp</t>
  </si>
  <si>
    <t>BAU 2020 + Zonneboiler</t>
  </si>
  <si>
    <t>Bijkomende zonneboilers tussen 2011-2020</t>
  </si>
  <si>
    <t>aantal HH in 2020 zonneboiler gelaatst tussen 2011-2020</t>
  </si>
  <si>
    <t xml:space="preserve">kWh per zonneboiler </t>
  </si>
  <si>
    <t>Gemiddelde SWW-vraag ingevuld door zonneboiler</t>
  </si>
  <si>
    <t>Gemiddelde besparing per zonneboiler t.o.v. BAU</t>
  </si>
  <si>
    <t>Gemiddelde emissiereductie per zonneboiler t.o.v. BAU</t>
  </si>
  <si>
    <t>kWh, toename zonne-/ thermische energie</t>
  </si>
  <si>
    <t>MWh, toename zonne-/thermische energie</t>
  </si>
  <si>
    <t>ton CO2</t>
  </si>
  <si>
    <t>Beschrijving sheets DATA--&gt;</t>
  </si>
  <si>
    <t>data</t>
  </si>
  <si>
    <t>EF brandstof</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</si>
  <si>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</si>
  <si>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deze sheets worden default voorzien van gegevens en vereisen geen input van de gebruiker</t>
  </si>
  <si>
    <t xml:space="preserve">Deze tool werd ontwikkeld door VITO in opdracht van de Vlaamse Overheid, Departement  Leefmilieu, Natuur en Energie  (Afdeling Milieu-, Natuur- en Energiebeleid). Deze tool moet steden en gemeenten in Vlaanderen ondersteunen bij de opmaak van een “Sustainable Energy Action Plan” (SEAP) of energieactieplan zoals gedefinieerd onder het Covenant of Mayors (CoM). Het referentiejaar in deze tool is het jaar 2011. Het BAU-scenario heeft betrekking op het zichtjaar 2020.
</t>
  </si>
  <si>
    <t>DATA--&gt;</t>
  </si>
  <si>
    <t>gemeente specifieke gegevens voor 2011</t>
  </si>
  <si>
    <t>Bron: VITO Emotion Road (augustus 2012)</t>
  </si>
  <si>
    <t>Paars</t>
  </si>
  <si>
    <t>BRONNEN--&gt;</t>
  </si>
  <si>
    <t>lijst met referenties naar publicaties of gegevensbronnen</t>
  </si>
  <si>
    <t>Referentie</t>
  </si>
  <si>
    <t>Jaar publicatie/aanlevering dataset</t>
  </si>
  <si>
    <t>Auteur(s)/dataleverancier(s)</t>
  </si>
  <si>
    <t>Titel publicatie/beschrijving dataset</t>
  </si>
  <si>
    <t>Weblink</t>
  </si>
  <si>
    <t>Contactpersoon</t>
  </si>
  <si>
    <t>Telefoon</t>
  </si>
  <si>
    <t>E-mail</t>
  </si>
  <si>
    <t>IPCC</t>
  </si>
  <si>
    <t>2006</t>
  </si>
  <si>
    <t>Intergovernmental Panel on Climate Change</t>
  </si>
  <si>
    <t>2006 IPCC Guidelines for National Greenhouse Gas Inventories</t>
  </si>
  <si>
    <t>http://www.ipcc-nggip.iges.or.jp/public/2006gl/</t>
  </si>
  <si>
    <t>Studiedienst van de Vlaamse Regering</t>
  </si>
  <si>
    <t>november 2011</t>
  </si>
  <si>
    <t>P. Willems, Lodewijckx J.</t>
  </si>
  <si>
    <t>SVR-projecties van de bevolking en de huishoudens voor Vlaamse steden en gemeenten, 2009-2030</t>
  </si>
  <si>
    <t>http://www4.vlaanderen.be/dar/svr/Pages/2011-01-24-studiedag-projecties.aspx</t>
  </si>
  <si>
    <t>Dirk Smets</t>
  </si>
  <si>
    <t>02 / 553 57 35</t>
  </si>
  <si>
    <t>dirk.smets@dar.vlaanderen.be</t>
  </si>
  <si>
    <t xml:space="preserve">Verkeerscentrum Vlaanderen </t>
  </si>
  <si>
    <t>mei 2013</t>
  </si>
  <si>
    <t>Verkeerscentrum Vlaanderen</t>
  </si>
  <si>
    <t>Aantal voertuigkm per gemeente en per weg voor 2011 en 2020</t>
  </si>
  <si>
    <t>Dana Borremans</t>
  </si>
  <si>
    <t xml:space="preserve">03 / 224 96 03 </t>
  </si>
  <si>
    <t>dana.borremans@mow.vlaanderen.be</t>
  </si>
  <si>
    <t>augustus 2012</t>
  </si>
  <si>
    <t xml:space="preserve">Cools I., Meynaerts E., Aernouts K., Renders N., Lodewijks P., De Vlieger I., Schoeters K., </t>
  </si>
  <si>
    <t>Bron: Federaal Planbureau</t>
  </si>
  <si>
    <t>Federaal Planbureau</t>
  </si>
  <si>
    <t>januari 2013</t>
  </si>
  <si>
    <t>Lokale energieproductie</t>
  </si>
  <si>
    <t>van de HH in 2020 hebben PV geplaatst tussen 2011-2020</t>
  </si>
  <si>
    <t>Bijkomende PV &lt;= 10 kWpiek tussen 2011 -2020</t>
  </si>
  <si>
    <t xml:space="preserve">kWpiek gemiddeld vermogen </t>
  </si>
  <si>
    <t>uren</t>
  </si>
  <si>
    <t>PV &lt;= 10 kW AC vermogen</t>
  </si>
  <si>
    <t xml:space="preserve">Vermogen </t>
  </si>
  <si>
    <t>Vollasturen</t>
  </si>
  <si>
    <t>Gemiddelde besparing per installatie t.o.v. BAU</t>
  </si>
  <si>
    <t>Gemiddelde besparing elektriciteitskosten per installatie t.o.v. BAU</t>
  </si>
  <si>
    <t>Gemiddelde emissiereductie per installatie t.o.v. BAU</t>
  </si>
  <si>
    <t>ton CO2 reductie per installatie</t>
  </si>
  <si>
    <t>Investeringskost omvat aankoop en plaatsing zonnepanelen, aankoop en plaatsing montagesysteem, bekabeling installatie, aankoop en plaatsing omvormers, keuring installatie</t>
  </si>
  <si>
    <t>Gemiddelde investeringskost per installatie t.o.v. BAU</t>
  </si>
  <si>
    <t>BAU 2020 + PV</t>
  </si>
  <si>
    <t>http://www.energiesparen.be/monitoring_evaluatie</t>
  </si>
  <si>
    <t>VEA</t>
  </si>
  <si>
    <t>28 juni 2013</t>
  </si>
  <si>
    <t xml:space="preserve">Vlaams Energieagentschap </t>
  </si>
  <si>
    <t>Rapport 2013/2 - Deel 1: definitief rapport OT/Bf voor projecten met een startdatum vanaf januari 2014</t>
  </si>
  <si>
    <t>VITO Energiebalans Vlaanderen</t>
  </si>
  <si>
    <t>VITO</t>
  </si>
  <si>
    <t>Energiebalans Vlaanderen (versie juni 2013)</t>
  </si>
  <si>
    <t>Kristien Aernouts</t>
  </si>
  <si>
    <t>014 / 32 58 74</t>
  </si>
  <si>
    <t>kristien.aernouts@vito.be</t>
  </si>
  <si>
    <t>Zie rekenblad MTRG HUISHOUDENS</t>
  </si>
  <si>
    <t>Studiedients van de Vlaamse Regering (november 2011)</t>
  </si>
  <si>
    <t>60% van NEB-SWW wordt opgewekt door zonneboiler, bij 6% v/d gezinnen</t>
  </si>
  <si>
    <t>Nulmeting= kopie van rekenblad MTRG HUISHOUDENS</t>
  </si>
  <si>
    <t>BAU-scenario 2020 = kopie van rekenblad MTRG HUISHOUDENS</t>
  </si>
  <si>
    <t>Met:</t>
  </si>
  <si>
    <t>JK</t>
  </si>
  <si>
    <t>jaarlijkse kapitaalkost</t>
  </si>
  <si>
    <t>I0</t>
  </si>
  <si>
    <t>éénmalig investeringsbedrag</t>
  </si>
  <si>
    <t>r</t>
  </si>
  <si>
    <t>discontovoet in %</t>
  </si>
  <si>
    <t>n</t>
  </si>
  <si>
    <t>levensduur in jaren</t>
  </si>
  <si>
    <t>De jaarlijkse investeringskosten worden opgeteld bij de andere jaarlijkse kosten/opbrengsten (bv. onderhoud, brandstofbesparing).</t>
  </si>
  <si>
    <t>zie rekenblad energieprijs en discontovoet</t>
  </si>
  <si>
    <r>
      <t xml:space="preserve">kWh per installatie </t>
    </r>
    <r>
      <rPr>
        <sz val="11"/>
        <rFont val="Calibri"/>
        <family val="2"/>
        <scheme val="minor"/>
      </rPr>
      <t>per jaar</t>
    </r>
  </si>
  <si>
    <t>Zie rekenblad energieprijs en discontovoet</t>
  </si>
  <si>
    <t>Studienst van de Vlaamse Regering (november 2011)</t>
  </si>
  <si>
    <t>januari 2011</t>
  </si>
  <si>
    <t>Renders N., Duerinck J., Altdorfer F., Baillot Y.</t>
  </si>
  <si>
    <t>Potentiële emissiereducties van de verwarmingssector tegen 2030</t>
  </si>
  <si>
    <t>http://www.health.belgium.be/internet2Prd/groups/public/@public/@mixednews/documents/ie2divers/19068559.pdf</t>
  </si>
  <si>
    <t>VITO en Econotec (januari 2011)</t>
  </si>
  <si>
    <t>EPB in cijfers</t>
  </si>
  <si>
    <t>http://www2.vlaanderen.be/economie/energiesparen/epb/doc/EPBincijfers-2006-2012.pdf</t>
  </si>
  <si>
    <t>april 2013</t>
  </si>
  <si>
    <t>VITO en Econotec</t>
  </si>
  <si>
    <t>VEA (april 2013)</t>
  </si>
  <si>
    <t>Kostenoptimale EPB-eisen en definitie BEN</t>
  </si>
  <si>
    <t>13 juni 2013</t>
  </si>
  <si>
    <t>VEA (13 juni 2013)</t>
  </si>
  <si>
    <t>VEA (28 juni 2013)</t>
  </si>
  <si>
    <t>" "</t>
  </si>
  <si>
    <t xml:space="preserve">" " </t>
  </si>
  <si>
    <t>http://www2.vlaanderen.be/economie/energiesparen/epb/doc/besluithernieuwbareenergie_20122809.pdf</t>
  </si>
  <si>
    <t>28 september 2012</t>
  </si>
  <si>
    <t>Besluit van de Vlaamse Regering houdende wijziging van het Energiebesluit van 19 november 2010</t>
  </si>
  <si>
    <t xml:space="preserve">Vlaamse Regering </t>
  </si>
  <si>
    <t>Vlaamse Regering (28 september 2012)</t>
  </si>
  <si>
    <t>VITO Inventaris hernieuwbare energie</t>
  </si>
  <si>
    <t>november 2012</t>
  </si>
  <si>
    <t>K. Jespers, K. Aernouts, Y. Dams</t>
  </si>
  <si>
    <t xml:space="preserve">Inventaris duurzame energie in Vlaanderen 2011, DEEL I: hernieuwbare energie
</t>
  </si>
  <si>
    <t>http://www.emis.vito.be/sites/default/files/pages/1125/2012/Inventaris_duurzame_energie_in_Vlaanderen_2011.pdf</t>
  </si>
  <si>
    <t>VITO Inventaris hernieuwbare energie (november 2012)</t>
  </si>
  <si>
    <t>MTRG HUISHOUDENS</t>
  </si>
  <si>
    <t>gebruiker moet implementatiegraad van maatregelen invullen</t>
  </si>
  <si>
    <t>inschatting CO2-uitstoot in 2020  "business-as-usual"  (BAU) en doorrekening impact isolatie (dak, muur, beglazing), zonneboiler, warmtepomp op energieverbruik en CO2-uitstoot ten opzichte van BAU</t>
  </si>
  <si>
    <t>MTRG TERTIAIR</t>
  </si>
  <si>
    <t>MTRG TRANSPORT</t>
  </si>
  <si>
    <t>MTRG LOKALE ENERGIEPRODUCTIE</t>
  </si>
  <si>
    <t>Vooruitzichten bruto toegevoegde waarde in volume, aangeleverd in het kader van opmaak van prognoses energie en broeikasgassen voor Vlaanderen</t>
  </si>
  <si>
    <t>Tertiair</t>
  </si>
  <si>
    <t xml:space="preserve">€ per installatie, excl. taks &amp; premies, incl. plaatsing en keuring </t>
  </si>
  <si>
    <t>euro per kWh</t>
  </si>
  <si>
    <t>Transport</t>
  </si>
  <si>
    <t>http://statbel.fgov.be/nl/statistieken/cijfers/energie/prijzen/gemid_8/</t>
  </si>
  <si>
    <t xml:space="preserve">elektriciteit </t>
  </si>
  <si>
    <t>gasolie</t>
  </si>
  <si>
    <t>http://www.vreg.be/hoeveel-kost-1-kwh-elektriciteit-en-aardgas</t>
  </si>
  <si>
    <t>gemiddelde eenheidsprijs huishoudelijke afnemers mei 2013, excl. BTW</t>
  </si>
  <si>
    <t>gemiddelde eenheidsprijs kleine professionele afnemers mei 2013, excl. BTW</t>
  </si>
  <si>
    <t>Bron</t>
  </si>
  <si>
    <t xml:space="preserve">gemiddelde prijs gasolie verwarming (meer dan 2000 liter), excl. BTW, omrekening van euro per liter naar euro per kWh </t>
  </si>
  <si>
    <t xml:space="preserve"> = Emissiefactoren Nulmeting</t>
  </si>
  <si>
    <t xml:space="preserve">Emissiefactoren 2020 [t/MWh] </t>
  </si>
  <si>
    <t>Energiebalans Vlaanderen (2013)</t>
  </si>
  <si>
    <t>Energiebesluit 19/11/2010, Bijlage V: Bepalingsmethode van het peil van primair energieverbruik van woongebouwen</t>
  </si>
  <si>
    <t>Energiebesluit</t>
  </si>
  <si>
    <t>Vlaamse Regering/ VEA</t>
  </si>
  <si>
    <t>http://statbel.fgov.be/nl/modules/publications/statistiques/economie/downloads/bouwvergunningen.jsp</t>
  </si>
  <si>
    <t>Bouwvergunningen Vlaamse Gewest</t>
  </si>
  <si>
    <t>Kadaster (NIS)</t>
  </si>
  <si>
    <t>Bouwvergunningen Vlaamse Gewest 1996 -2011</t>
  </si>
  <si>
    <t>Bouwvergunningen Vlaamse Gewest (juni 2012)</t>
  </si>
  <si>
    <t>KMI (2013)</t>
  </si>
  <si>
    <t>KMI Graaddagen 15/15</t>
  </si>
  <si>
    <t>Graaddagen 15/15</t>
  </si>
  <si>
    <t>€ per dakisolatie, excl. taks &amp; premies, incl. plaatsing</t>
  </si>
  <si>
    <t>€ per muurisolatie, excl. taksen en premies, incl. plaatsing</t>
  </si>
  <si>
    <t>€ per maatregel, excl. taksen en premies, incl. plaatsing</t>
  </si>
  <si>
    <t>€ per dakisolatie, excl. taks</t>
  </si>
  <si>
    <t>€ per muurisolatie, excl. taks</t>
  </si>
  <si>
    <t>€ per maatregel, excl. taks</t>
  </si>
  <si>
    <t>€ per WP, excl. taks</t>
  </si>
  <si>
    <t>€/kWh</t>
  </si>
  <si>
    <t>Ondersteuning bij de ontwikkeling van het Vlaams Klimaatbeleidsplan</t>
  </si>
  <si>
    <r>
      <t>Cools I., Meynaerts E., Aernouts K., Renders N., Lodewijks P., De Vlieger I., Schoeters K.</t>
    </r>
    <r>
      <rPr>
        <i/>
        <sz val="11"/>
        <color theme="1"/>
        <rFont val="Calibri"/>
        <family val="2"/>
        <scheme val="minor"/>
      </rPr>
      <t/>
    </r>
  </si>
  <si>
    <t>VITO Vlaams Klimaatplan</t>
  </si>
  <si>
    <t>EC Ecodesign</t>
  </si>
  <si>
    <t>DG Enterprise and Industry</t>
  </si>
  <si>
    <t>2012</t>
  </si>
  <si>
    <t>2013</t>
  </si>
  <si>
    <t xml:space="preserve">
Adopted implementing measures
Ecodesign - Products - Estimated savings of adopted Implemented Measures
 </t>
  </si>
  <si>
    <t>EC Ecodesign (2012)</t>
  </si>
  <si>
    <t>Livios (2013)</t>
  </si>
  <si>
    <t>Livios</t>
  </si>
  <si>
    <t xml:space="preserve">Energiebesluit Bijlage V (November 2010) </t>
  </si>
  <si>
    <t>Energiebesluit Bijlage V</t>
  </si>
  <si>
    <t>http://www.livios.be/nl/bouwfasen/techniek/verwarmingstechniek/pro-contra-investeren-in-zonneboilersysteem-of-pv-panelen/</t>
  </si>
  <si>
    <t>Pro &amp; contra: investeren in zonneboilersysteem of pv-panelen?</t>
  </si>
  <si>
    <t>http://www4dar.vlaanderen.be/sites/svr/Methoden/bijlagenmethoden/toekomstverkenning/ondersteunende-studie-VMP2013-2020-VITO.pdf</t>
  </si>
  <si>
    <t>VITO Vlaams Klimaatplan (2012)</t>
  </si>
  <si>
    <t>Livios (2013); Energiebesluit Bijlage V (2010)</t>
  </si>
  <si>
    <t>VITO Inventaris HEB (2012), VITO en ECONOTEC (2011)</t>
  </si>
  <si>
    <t>IEE Project</t>
  </si>
  <si>
    <t>Application of Building Typologies for Modelling the Energy Balance of the Residential Building Stock</t>
  </si>
  <si>
    <t>IEE Tabula - Stock</t>
  </si>
  <si>
    <t>http://www.building-typology.eu/tabulapublications.html</t>
  </si>
  <si>
    <t>IEE Tabula - Stock (2012)</t>
  </si>
  <si>
    <t>(in MWh)</t>
  </si>
  <si>
    <t xml:space="preserve">FINAAL ENERGIEVERBRUIK </t>
  </si>
  <si>
    <t>huishoudens</t>
  </si>
  <si>
    <t>tertiair</t>
  </si>
  <si>
    <t>openbare verlichting</t>
  </si>
  <si>
    <t>landbouw</t>
  </si>
  <si>
    <t>industrie</t>
  </si>
  <si>
    <t>particulier en commercieel vervoer</t>
  </si>
  <si>
    <t>openbaar vervoer</t>
  </si>
  <si>
    <t>eigen gebouwen</t>
  </si>
  <si>
    <t>eigen openbare verlichting</t>
  </si>
  <si>
    <t>eigen vloot</t>
  </si>
  <si>
    <t>totaal</t>
  </si>
  <si>
    <t>emissiefactoren (in ton CO2 per MWh)</t>
  </si>
  <si>
    <r>
      <rPr>
        <sz val="11"/>
        <rFont val="Calibri"/>
        <family val="2"/>
        <scheme val="minor"/>
      </rPr>
      <t>€ p</t>
    </r>
    <r>
      <rPr>
        <sz val="11"/>
        <color theme="1"/>
        <rFont val="Calibri"/>
        <family val="2"/>
        <scheme val="minor"/>
      </rPr>
      <t>er installatie, excl. taks</t>
    </r>
  </si>
  <si>
    <t xml:space="preserve">overzicht energieverbruik en CO2-uitstoot in 2011 (nulmeting) en in 2020 ( "business-as-usual" of BAU) </t>
  </si>
  <si>
    <t>gegevens voor 2011 komen uit (tool) nulmeting ; het BAU-scenario wordt voor huishoudens, tertiair en transport berekend in de MTRG rekenbladen</t>
  </si>
  <si>
    <t>CO2-emissies</t>
  </si>
  <si>
    <t>CO2 emissies</t>
  </si>
  <si>
    <t>(in ton)</t>
  </si>
  <si>
    <t>3. Vergelijking energieverbruik en CO2-emissies nulmeting 2011 vs BAU 2020</t>
  </si>
  <si>
    <t>http://www.oved.be/sites/default/files/upload/3a_P-LP-VEA-BENgebouwen.pdf</t>
  </si>
  <si>
    <t>1. Graaddagen elasticiteit</t>
  </si>
  <si>
    <t>VITO, eigen inschatting</t>
  </si>
  <si>
    <t>Economische groei</t>
  </si>
  <si>
    <t>Bestaande gebouwen: Autonome vervangingen verwarmingsinstallaties</t>
  </si>
  <si>
    <t>Analoog als residentieel</t>
  </si>
  <si>
    <t>% besparing t.o.v. bestaand gebouw</t>
  </si>
  <si>
    <t xml:space="preserve">   - Brandstoffen</t>
  </si>
  <si>
    <t xml:space="preserve">  -  Elektriciteit</t>
  </si>
  <si>
    <t>1. Evolutie E-peil naar Bijna Energie Neutraal BEN gebouwen in alle sectoren (E40)</t>
  </si>
  <si>
    <t>Federaal Planbureau (2013) en eigen inschatting VITO</t>
  </si>
  <si>
    <t>Te verwachten gemiddelde stijging in energieverbruik door economische groei - 2020 t.o.v. 2011</t>
  </si>
  <si>
    <t>2020 = BEN = Besparing E40 gebouwen</t>
  </si>
  <si>
    <t>2011 = Besparing E100 gebouwen (EPB eisen, Kantoren en Scholen, 2010-2011)</t>
  </si>
  <si>
    <t>Idem residentieel</t>
  </si>
  <si>
    <t>Elektriciteit - Warmtepomp (mix lucht en grond)</t>
  </si>
  <si>
    <t>Zonthermisch</t>
  </si>
  <si>
    <t xml:space="preserve">Geothermisch - Warmtepomp </t>
  </si>
  <si>
    <t>[Aandeel % van finaal verbruik]</t>
  </si>
  <si>
    <t>2. Brandstofmix nieuwbouw 2020 - verwarming en SWW</t>
  </si>
  <si>
    <t>Elektrische toestellen/installaties en verlichting</t>
  </si>
  <si>
    <t>Verwachte, autonome besparing in bestaande gebouwen</t>
  </si>
  <si>
    <t>Bestaande gebouwen - SWW en verwarming</t>
  </si>
  <si>
    <t>% gebouwoppervlak [m²] met reductiemaatregel tussen 2011 -2020</t>
  </si>
  <si>
    <t>van oppervlakte gebouwen in 2020 hebben maatregelen geplaatst tussen 2011-2020</t>
  </si>
  <si>
    <t>Renovatie bestaande gebouwen (Cluster van maatregelen ter reductie van verbruik HVAC en verlichting)</t>
  </si>
  <si>
    <t>€ per kWh, excl. taks &amp; premies, incl. plaatsing</t>
  </si>
  <si>
    <t>Bestaande gebouwen - brandstoffen en ELE</t>
  </si>
  <si>
    <t>Totale besparing brandstofkosten t.o.v. BAU in 2020</t>
  </si>
  <si>
    <t>€, excl. taks</t>
  </si>
  <si>
    <t>Totale investeringskost t.o.v. BAU in 2020</t>
  </si>
  <si>
    <t>€, excl. taks en premies, incl. plaatsing</t>
  </si>
  <si>
    <t>BAU 2020 + Renovatie</t>
  </si>
  <si>
    <t>Bijkomende warmtepompen tussen 2011 - 2020</t>
  </si>
  <si>
    <t>% Besparing t.o.v. REF</t>
  </si>
  <si>
    <r>
      <t xml:space="preserve">Gemiddelde meer-investeringskost per kWh finale besparing </t>
    </r>
    <r>
      <rPr>
        <sz val="11"/>
        <rFont val="Calibri"/>
        <family val="2"/>
        <scheme val="minor"/>
      </rPr>
      <t>t.o.v. BAU 2020</t>
    </r>
  </si>
  <si>
    <t>Gezien beperkte kennis over bruto vloeroppervlakte tertiaire gebouwen binnen stedelijk/gemeentelijk grondgebied, gebruiken we indicatoren als % of investeringskosten per eenheid besparing, maar niet per eenheid m² BVO.</t>
  </si>
  <si>
    <t>Deze indicatoren zijn afgeleid uit "Impactberekening klimaatacties stad Antwerpen, VITO, 2012", waaruit investeringskosten (€/kWh) en besparingen (%) t.o.v. BAU scenario in 2020 zijn afgeleid. Deze cijfers zijn zuiver indicatief.</t>
  </si>
  <si>
    <t>De cijfers uit studie Antwerpen zijn op hun beurt gebaseerd op "Technisch-economische analyse van de rendabiliteit van energiebesparende investeringen, BIM, 2005".</t>
  </si>
  <si>
    <t>VITO Antwerpen (2012)</t>
  </si>
  <si>
    <t>VITO Antwerpen</t>
  </si>
  <si>
    <t>Meynaerts E., Cools I., Lodewijks P., Renders N.</t>
  </si>
  <si>
    <t>Impactberekening klimaatacties stad Antwerpen</t>
  </si>
  <si>
    <t>compressiekoelmachine en ventilo-convectoren voor verwarming en koeling, zonneboilers en energiezuinige verlichting met aanwezigheidsdetectie en daglichtsturing</t>
  </si>
  <si>
    <r>
      <t xml:space="preserve">Mogelijke maatregelen: </t>
    </r>
    <r>
      <rPr>
        <i/>
        <sz val="11"/>
        <color theme="1"/>
        <rFont val="Calibri"/>
        <family val="2"/>
        <scheme val="minor"/>
      </rPr>
      <t xml:space="preserve">Isolatie, zonwerende beglazing, mechanische ventilatie of natuurlijke ventilatie, condenserende ketel, </t>
    </r>
  </si>
  <si>
    <r>
      <t xml:space="preserve">Assumptie: Groei energieverbruik </t>
    </r>
    <r>
      <rPr>
        <sz val="10"/>
        <color rgb="FF3F3F3F"/>
        <rFont val="Calibri"/>
        <family val="2"/>
      </rPr>
      <t>&lt;</t>
    </r>
    <r>
      <rPr>
        <i/>
        <sz val="9"/>
        <color rgb="FF3F3F3F"/>
        <rFont val="Calibri"/>
        <family val="2"/>
      </rPr>
      <t xml:space="preserve"> </t>
    </r>
    <r>
      <rPr>
        <i/>
        <sz val="10"/>
        <color rgb="FF3F3F3F"/>
        <rFont val="Calibri"/>
        <family val="2"/>
        <scheme val="minor"/>
      </rPr>
      <t>nieuwbouw</t>
    </r>
  </si>
  <si>
    <t>Sloop impact niet meegenomen.</t>
  </si>
  <si>
    <t>Nieuwbouw is doorgerekend met gemiddelde eigenschappen van gebouwen in 2011 en 2020.</t>
  </si>
  <si>
    <t>VITO MKM Tertiair</t>
  </si>
  <si>
    <t>Milieukostenmodel - Tertiaire sector</t>
  </si>
  <si>
    <t>Analoog residentieel</t>
  </si>
  <si>
    <t>Eventuele koelopbrengsten (airco) werden niet meegerekend.</t>
  </si>
  <si>
    <t>van oppervlakte gebouwen in 2020 hebben warmtepompen geplaatst tussen 2011-2020</t>
  </si>
  <si>
    <t>Bestaande gebouwen - brandstoffen</t>
  </si>
  <si>
    <t>€ per kWh warmteopbrengst - gemiddelde meerprijs t.o.v. aardgasketel, excl. taks en premies</t>
  </si>
  <si>
    <t>VITO Inventaris HEB (2012)</t>
  </si>
  <si>
    <t>Gemiddelde thermische vermogen warmtepomp: 20kW thermisch --&gt; Gemiddelde warmte-opbrengst = 40.000 kWh/jaarbasis</t>
  </si>
  <si>
    <t>Totale investeringskosten t.o.v. BAU in 2020</t>
  </si>
  <si>
    <t>MWh, finale besparing brandstoffen</t>
  </si>
  <si>
    <t>ton CO2, reducties brandstoffen</t>
  </si>
  <si>
    <t>Zie assumpties BAU scenario; analoog residentieel</t>
  </si>
  <si>
    <t>Groei toegevoegde waarde - tertiair</t>
  </si>
  <si>
    <t>Groei toegevoegde waarde - industrie</t>
  </si>
  <si>
    <t>eigen organisatie</t>
  </si>
  <si>
    <t>transport</t>
  </si>
  <si>
    <t>VEA (maart 2013)</t>
  </si>
  <si>
    <t>maart 2013</t>
  </si>
  <si>
    <t>VEA-Consultatiedocument groenestroomproductie 2020: subdoelstellingen groene stroom</t>
  </si>
  <si>
    <t>MWh jaarlijkse groei van PV verondersteld in Vlaanderen</t>
  </si>
  <si>
    <t>OUTPUT--&gt;</t>
  </si>
  <si>
    <t xml:space="preserve"> gebruiker kan in MTRG rekenbladen aangeven in welke mate de maatregelen bijkomend ingezet worden in een gemeente/stad t.o.v. BAU-scenario 2020 </t>
  </si>
  <si>
    <t>indien waarden niet worden gekopieerd door gebruiker, wordt in berekeningen uitgegaan van waarde= 0</t>
  </si>
  <si>
    <t>emissiefactoren per brandstof, energieconsumptiefactoren per voertuig/wegtype en brandstoftechnologie, groei toegevoegde waarde, energieprijs en discontovoet</t>
  </si>
  <si>
    <t>sheets zijn voorzien van default waardes die overschreven kunnen worden door gebruiker</t>
  </si>
  <si>
    <t xml:space="preserve">velden die gekoppeld zijn aan INPUT of DATA rekenbladen </t>
  </si>
  <si>
    <t>diesel</t>
  </si>
  <si>
    <t>super 95</t>
  </si>
  <si>
    <t>super 98</t>
  </si>
  <si>
    <t>Federale Overheid</t>
  </si>
  <si>
    <t>VREG</t>
  </si>
  <si>
    <t>Gemiddeld officieel tarief van de aardolieproducten in EURO voor de laatste 8 jaar</t>
  </si>
  <si>
    <t>februari 2012</t>
  </si>
  <si>
    <t>november 2010</t>
  </si>
  <si>
    <t>september 2013</t>
  </si>
  <si>
    <t>Evolutie elektriciteits-en aardgasprijzen (excl. btw) voor kleine professionele afnemers en huishoudens</t>
  </si>
  <si>
    <t>Vlaamse regulator van de elektriciteits- en gasmarkt</t>
  </si>
  <si>
    <t>euro per liter</t>
  </si>
  <si>
    <t>gemiddelde eenheidsprijs super benzine 98 RON 10 ppm, excl. BTW</t>
  </si>
  <si>
    <t>gemiddelde eenheidsprijs super benzine 95 RON 10 ppm, excl. BTW</t>
  </si>
  <si>
    <t>gemiddelde eenheidsprijs gasolie diesel 10 ppm, excl. BTW</t>
  </si>
  <si>
    <t>gemiddelde eenheidsprijs LPG motorbrandstofgas (gemengd gas), excl. BTW</t>
  </si>
  <si>
    <t>Shift 2011 - 2020</t>
  </si>
  <si>
    <t>Modal shift van personenwagen naar fiets</t>
  </si>
  <si>
    <t>Dergelijke modal shift kan op verschillende manieren bekomen worden, en is ook afhankelijk van de referentiesituatie per gemeente (bijv. aanwezige infrastructuur, 'fietscultuur',…).</t>
  </si>
  <si>
    <t>km</t>
  </si>
  <si>
    <t xml:space="preserve">aantal voertuigkilometer door personenwagens in 2020 </t>
  </si>
  <si>
    <t>Transport - particulier en commercieel vervoer</t>
  </si>
  <si>
    <t>Particulier en commercieel vervoer  totaal (PJ)</t>
  </si>
  <si>
    <t>Lichte vrachtwagens_Genummerde wegen</t>
  </si>
  <si>
    <t>Personenwagens_Genummerde wegen</t>
  </si>
  <si>
    <t>Zware vrachtwagens_Genummerde wegen</t>
  </si>
  <si>
    <t>Lichte vrachtwagens_Niet-genummerde wegen</t>
  </si>
  <si>
    <t>Personenwagens_Niet-genummerde wegen</t>
  </si>
  <si>
    <t>Zware vrachtwagens_Niet-genummerde wegen</t>
  </si>
  <si>
    <t>Lichte vrachtwagens_Snelwegen</t>
  </si>
  <si>
    <t>Personenwagens_Snelwegen</t>
  </si>
  <si>
    <t>Zware vrachtwagens_Snelwegen</t>
  </si>
  <si>
    <t>correctie voor eigen vloot (MWh)</t>
  </si>
  <si>
    <t>TOTAAL  (particulier en commercieel) (MWh)</t>
  </si>
  <si>
    <t>emissiefactoren  (t/MWh)</t>
  </si>
  <si>
    <t>emissies (particulier en commercieel) (ton CO2)</t>
  </si>
  <si>
    <t>Transport - openbaar vervoer</t>
  </si>
  <si>
    <t>FINAAL ENERGIEVERBRUIK</t>
  </si>
  <si>
    <t>Openbaar vervoer totaal (PJ)</t>
  </si>
  <si>
    <t>TOTAAL  (openbaar vervoer) (MWh)</t>
  </si>
  <si>
    <t>emissies (openbaar vervoer) (ton CO2)</t>
  </si>
  <si>
    <t>kg/l</t>
  </si>
  <si>
    <t>GJ/kg</t>
  </si>
  <si>
    <t>biodiesel</t>
  </si>
  <si>
    <t>vol% liter</t>
  </si>
  <si>
    <t>gew% kg</t>
  </si>
  <si>
    <t>J%</t>
  </si>
  <si>
    <t>benzine</t>
  </si>
  <si>
    <t>bioethanol</t>
  </si>
  <si>
    <t xml:space="preserve">gew% kg </t>
  </si>
  <si>
    <t>van de kilometers met personenwagen wordt tegen 2020 vervangen door fiets/te voet</t>
  </si>
  <si>
    <t>VITO EmotionRoad (base scenario 2020)</t>
  </si>
  <si>
    <t>Vlaams Verkeerscentrum (Promovia, 2020)</t>
  </si>
  <si>
    <t>1. Verwachte evolutie voertuigkilometer op grondgebied</t>
  </si>
  <si>
    <t xml:space="preserve">2. Verdeling van voertuigkilometer over brandstoftechnologie </t>
  </si>
  <si>
    <t>3. Aandeel biobrandstoffen</t>
  </si>
  <si>
    <t xml:space="preserve">1. Verwachte evolutie voertuigkilometer </t>
  </si>
  <si>
    <t xml:space="preserve">Particulier en commercieel vervoer: Autonome evolutie door </t>
  </si>
  <si>
    <t>4. Berekening van energieverbruik per brandstof</t>
  </si>
  <si>
    <t>Geen autonome evolutie berekend, cijfers uit 2011 overgenomen</t>
  </si>
  <si>
    <t>BAU 2020 + techn.shift</t>
  </si>
  <si>
    <t>BAU 2020 + mod.shift</t>
  </si>
  <si>
    <t>Toekomstige prognoses voor buskilometers en brandstoftechnologieverdeling eventueel specifiek op te vragen bij De Lijn</t>
  </si>
  <si>
    <t>Totaal CO2 (ton)</t>
  </si>
  <si>
    <t xml:space="preserve">Totaal </t>
  </si>
  <si>
    <t>g/km</t>
  </si>
  <si>
    <t>emissies personenwagens (ton CO2)</t>
  </si>
  <si>
    <t>TOTAAL (personenwagens) (MWh)</t>
  </si>
  <si>
    <t>Totaal MWh</t>
  </si>
  <si>
    <t>reductie voertuigkilometer door personenwagens in 2020 door maatregel</t>
  </si>
  <si>
    <t>gemiddelde vlootemissiefactor voor dieselpersonenwagens in 2020</t>
  </si>
  <si>
    <t>gemiddelde vlootemissiefactor voor elektrische personenwagen in 2020</t>
  </si>
  <si>
    <t>€, excl. Taks</t>
  </si>
  <si>
    <t>1 liter=</t>
  </si>
  <si>
    <t>GJ</t>
  </si>
  <si>
    <t xml:space="preserve">gemiddelde prijs gasolie verwarming (minder dan 2000 liter), excl. BTW, omrekening van euro per liter naar euro per kWh </t>
  </si>
  <si>
    <t>juni 2012</t>
  </si>
  <si>
    <t>juni 2013</t>
  </si>
  <si>
    <t>motorbrandstoftechnologie</t>
  </si>
  <si>
    <t>levensduur</t>
  </si>
  <si>
    <t>meerkost</t>
  </si>
  <si>
    <t>diesel* (referentievoertuig)</t>
  </si>
  <si>
    <t>Gemiddelde jaarkilometrage elektrische wagen</t>
  </si>
  <si>
    <t>Meerkost elektrische wagen tov dieselpersonenwagen</t>
  </si>
  <si>
    <t>Aantal extra elektrische wagens die aangekocht moeten worden</t>
  </si>
  <si>
    <t xml:space="preserve">De Vlieger I., Pelkmans L., Schrooten L., Vankerkom J., Vanderschaeghe M., Grispen R., Borremans D., Vanherle K., Delhaye E., Breemersch T. &amp; De Geest C. </t>
  </si>
  <si>
    <t>MIRA 2009</t>
  </si>
  <si>
    <t>Transport: referentie- en Europa-scenario. Wetenschappelijk rapport, MIRA 2009, VMM</t>
  </si>
  <si>
    <t>2009</t>
  </si>
  <si>
    <t>www.milieurapport.be</t>
  </si>
  <si>
    <t>€</t>
  </si>
  <si>
    <t xml:space="preserve">Investeringskost bevat de éénmalige aankoopkost van het voertuig, kostprijs van infrastructuur (laadpalen, netwerk,…) werd niet meegenomen </t>
  </si>
  <si>
    <t>Houdt rekening met geplande en vastgelegde maatregelen en infrastructuurwerken volgens de Promovia doorrekening van het Vlaams Verkeerscentrum</t>
  </si>
  <si>
    <t>i.e. verwachte bijmenging van biobrandstoffen in de toekomst</t>
  </si>
  <si>
    <t>van de autokm wordt gemiddeld gezien afgelegd voor een rit die korter is dan 8 km</t>
  </si>
  <si>
    <t>Kostprijs van extra infrastructuur werd hierbij dan ook niet meegerekend.</t>
  </si>
  <si>
    <t>MWh/km</t>
  </si>
  <si>
    <t>nvt</t>
  </si>
  <si>
    <t>Besparing diesel (MWh)</t>
  </si>
  <si>
    <t>Besparing benzine (MWh)</t>
  </si>
  <si>
    <t>Aandeel energieverbruik diesel tov (diesel + benzine) personenwagens</t>
  </si>
  <si>
    <t>Besparing diesel (liter)</t>
  </si>
  <si>
    <t>Besparing benzine (liter)</t>
  </si>
  <si>
    <t>extra van de kilometers met personenwagen wordt gereden door elektrische wagen</t>
  </si>
  <si>
    <t>We doelen hier voornamelijk op het vervangen van een dieselpersonenwagen</t>
  </si>
  <si>
    <t>BAU-2020 rekenblad geeft overzicht van energieverbruiken en CO2-emissies per sector volgens nulmeting 2011 en BAU-scenario 2020. In de MTRG rekenbladen wordt voor 10 voorbeeldmaatregelen in de sector huishoudens, tertiair, transport en lokale energieproductie, de impact op CO2-uitstoot doorgerekend t.o.v.  BAU-scenario 2020.</t>
  </si>
  <si>
    <t>gebruiker moet implementatiegraad van maatregelen invullen in de MTRG rekenbladen</t>
  </si>
  <si>
    <t>Beschrijving OUTPUT sheets --&gt;</t>
  </si>
  <si>
    <r>
      <t>VITO MKM Tertiair</t>
    </r>
    <r>
      <rPr>
        <i/>
        <sz val="10"/>
        <color rgb="FFFF0000"/>
        <rFont val="Calibri"/>
        <family val="2"/>
        <scheme val="minor"/>
      </rPr>
      <t xml:space="preserve"> </t>
    </r>
  </si>
  <si>
    <t xml:space="preserve">VEA (13 juni 2013); VITO MKM Tertiair </t>
  </si>
  <si>
    <t>Transport= particulieer, commercieel en openbaar vervoer</t>
  </si>
  <si>
    <t>inschatting CO2-uitstoot in 2020  "business-as-usual"  (BAU) en doorrekening impact modal en technologische shift (fiets, elektrische auto) op energieverbruik en CO2-uitstoot ten opzichte van BAU</t>
  </si>
  <si>
    <t>inschatting CO2-uitstoot in 2020  "business-as-usual"  (BAU) en doorrekening impact renovatie bestaande gebouwen en plaatsing warmtepomp bij renovatie op energieverbruik en CO2-uitstoot ten opzichte van BAU</t>
  </si>
  <si>
    <t>inschatting CO2-uitstoot in 2020  "business-as-usual"  (BAU) en doorrekening impact PV (&lt;= 10 kWpiek) op energieverbruik en CO2-uitstoot ten opzichte van BAU</t>
  </si>
  <si>
    <t>indien de waarden niet gekopieerd worden uit de betreffende rekenbladen in tool voor opmaak nulmeting, zal in de berekeningen uitgegaan worden van waarde= 0</t>
  </si>
  <si>
    <t>overzicht energieverbruik en CO2-emissies uit nulmeting voor 2011</t>
  </si>
  <si>
    <t>ECF transport</t>
  </si>
  <si>
    <t>groei toegevoegde waarde</t>
  </si>
  <si>
    <t>energieprijs en discontovoet</t>
  </si>
  <si>
    <t>energieconsumptiefactoren worden gebruikt om het verbruik per voertuig, wegtype en energiedrager te berekenen (MTRG TRANSPORT)</t>
  </si>
  <si>
    <t>energieconsumptiefactoren (ECF) personenwagens, lichte en zware vrachtwagens voor 2020</t>
  </si>
  <si>
    <r>
      <t>emissiefactoren worden gebruikt om brandstofgerelateerde CO</t>
    </r>
    <r>
      <rPr>
        <vertAlign val="subscript"/>
        <sz val="11"/>
        <rFont val="Calibri"/>
        <family val="2"/>
        <scheme val="minor"/>
      </rPr>
      <t>2</t>
    </r>
    <r>
      <rPr>
        <sz val="11"/>
        <rFont val="Calibri"/>
        <family val="2"/>
        <scheme val="minor"/>
      </rPr>
      <t xml:space="preserve"> emissies te berekenen (in de OUTPUT rekenbladen)</t>
    </r>
  </si>
  <si>
    <t xml:space="preserve">overzicht van groeicijfers die door het Federaal Planbureau (januari 2013) werden aangeleverd en dit in het kader van de opmaak van prognoses voor energie en broeikasgassen voor Vlaanderen (VITO i.o.v. LNE). </t>
  </si>
  <si>
    <t>overzicht van gemiddelde eenheidprijs (excl. BTW) van aardgas, elektriciteit, gasolie/diesel, benzine en LPG enerzijds en de discontovoet anderzijds</t>
  </si>
  <si>
    <t>groeicijfers worden gebruikt om autonome groei in energieverbruik in te schatten voor de tertiaire sector in het BAU 2020-scenario (MTRG TERTIAIR)</t>
  </si>
  <si>
    <t>discontovoet wordt in gebruikt om éénmalige investeringskosten om te rekenen naar een jaarlijkse kost (in MTRG rekenbladen)</t>
  </si>
  <si>
    <t>De éénmalige investeringskosten worden omgerekend naar een jaarlijkse kost. De jaarlijkse kapitaalkosten worden berekend door de investeringsuitgaven over de levensduur van de maatregel met een annuïteitenfactor te vermenigvuldigen. De som van de afschrijvingen en de rentekost worden als een constant bedrag over de levensduur van de maatregel beschouwd:</t>
  </si>
  <si>
    <t xml:space="preserve">1. Brandstof- en elektriciteitsprijzen </t>
  </si>
  <si>
    <t>2. Discontovoet voor berekening jaarlijkse kost</t>
  </si>
  <si>
    <t>Volgende weblink geeft een indicatie van relevante prijzen voor infrastructuurkosten: http://www.e-mobilbw.de/Website-Management/UserData/ModuleContents/1045/Downloads/Systemanalyse_BWemobil_IKT_Energie.pdf</t>
  </si>
  <si>
    <t>Limits to active transport substitution of short car trips</t>
  </si>
  <si>
    <t>Beckx C., Broekx S., Degrauwe B., Beusen B., Int Panis L.</t>
  </si>
  <si>
    <t>juli 2013</t>
  </si>
  <si>
    <t>VITO Transportation Research</t>
  </si>
  <si>
    <t>http://dx.doi.org/10.1016/j.trd.2013.03.001</t>
  </si>
  <si>
    <t>VITO Transportation Research (juli 2013)</t>
  </si>
  <si>
    <t>FOD Mobiliteit</t>
  </si>
  <si>
    <t>vkm (gemiddelde jaarkilometrage voor benzine wagen in Vlaanderen in 2011)</t>
  </si>
  <si>
    <t>Nulmeting (zie rekenblad "Nulmeting 2011")</t>
  </si>
  <si>
    <t>VITO EmotionRoad</t>
  </si>
  <si>
    <t>Berekeningen met EmotionRoad die werden uitgevoerd in het kader van de studie “Ondersteuning bij de ontwikkeling van het Vlaams Klimaatbeleidsplan"</t>
  </si>
  <si>
    <t>Naast hun relatief hoge kostprijs, worstelen elektrische voertuigen ook met het nadeel van hun beperkte autonomie. Van beide nadelen wordt verwacht dat ze met de tijd zullen afnemen. Men kan dus best niet te snel overgaan tot een grootschalige ontplooiing. In afwachting van een grootschalige ontplooiing kunnen pilootprojecten zinnig zijn om ervaring op te doen.</t>
  </si>
  <si>
    <t>Federale Overheidsdienst Mobiliteit en Vervoer</t>
  </si>
  <si>
    <t>Kilometers afgelegd door Belgische voertuigen in het jaar 2011</t>
  </si>
  <si>
    <t>http://www.mobilit.belgium.be/nl/binaries/Kilometers2011_tcm466-224870.pdf</t>
  </si>
  <si>
    <t>FOD mobiliteit (2013)</t>
  </si>
  <si>
    <t>Energieconsumptiefactor diesel personenwagen (MWh/km)</t>
  </si>
  <si>
    <t>Energieprijs diesel (€ per kWh)</t>
  </si>
  <si>
    <t>Extra verbruik elektriciteit (MWh)</t>
  </si>
  <si>
    <t>Energieconsumptiefactor personenwagen elek (MWh/km)</t>
  </si>
  <si>
    <t>-</t>
  </si>
  <si>
    <t xml:space="preserve">€ </t>
  </si>
  <si>
    <t>1 GJ=</t>
  </si>
  <si>
    <t>gemiddelde energieverbruiksfactor voor personenwagens (diesel/benzine) in 2020</t>
  </si>
  <si>
    <t>gemiddelde vlootemissiefactor CO2 voor personenwagens (diesel/benzine) in 2020</t>
  </si>
  <si>
    <t xml:space="preserve">jaarlijkse kapitaalkost </t>
  </si>
  <si>
    <t>discontovoet</t>
  </si>
  <si>
    <t>Houdt rekening met gepland en vastgelegd Europees beleid zoals Euronormen voor personenwagens, bestelwagens en vrachtwagens en CO2 grenzen voor personenwagens (130 g CO2 vanaf 2015)</t>
  </si>
  <si>
    <t>www.viessmann.be</t>
  </si>
  <si>
    <t>€ per warmtepomp - gemiddelde meerprijs t.o.v. BAU gemiddelde ketel, excl. taks en premies, incl. plaatsing</t>
  </si>
  <si>
    <t>€ per zonneboiler, excl. taksen en premies, incl. plaatsing</t>
  </si>
  <si>
    <r>
      <t xml:space="preserve">Finaal verbruik 2011 in </t>
    </r>
    <r>
      <rPr>
        <b/>
        <sz val="11"/>
        <rFont val="Calibri"/>
        <family val="2"/>
        <scheme val="minor"/>
      </rPr>
      <t>graaddagen 1.799</t>
    </r>
    <r>
      <rPr>
        <sz val="11"/>
        <rFont val="Calibri"/>
        <family val="2"/>
        <scheme val="minor"/>
      </rPr>
      <t xml:space="preserve"> -  opdeling verwarming/SWW versus elektrische toestellen/verlichting</t>
    </r>
  </si>
  <si>
    <t>Autonome evolutie door demografische groei, autonome vervanging en Europees beleid - graaddagen 1.799</t>
  </si>
  <si>
    <t>2. Energieverbruik en CO2-emissies in 2020 (BAU) (1.799 graaddagen)</t>
  </si>
  <si>
    <t>Finaal energieverbruik (MWh)</t>
  </si>
  <si>
    <t>CO2-emissies (ton)</t>
  </si>
  <si>
    <t>kopie van rekenblad "als waarde" uit nulmeting tool</t>
  </si>
  <si>
    <t>kopie "als waarde" uit nulmeting tool</t>
  </si>
  <si>
    <t xml:space="preserve">kopie van waarden uit de rekenbladen nulmeting 2011 en data uit de rekentool voor opmaak van nulmeting </t>
  </si>
  <si>
    <t>TOTAAL (PJ)</t>
  </si>
  <si>
    <t>Openbaar vervoer: Autonome evolutie</t>
  </si>
  <si>
    <t>Zowel directe als indirecte emissies</t>
  </si>
  <si>
    <t xml:space="preserve">Link met tool ondersteuning burgemeestersconvenant - Deel 2: sustainable energy action plan </t>
  </si>
  <si>
    <t xml:space="preserve">KOPIEER VIA KNOP DE INHOUD VAN VOLGENDE REKENBLADEN ALS WAARDEN NAAR DE MAATREGELEN TOOL </t>
  </si>
  <si>
    <r>
      <rPr>
        <b/>
        <sz val="11"/>
        <color rgb="FF009999"/>
        <rFont val="Calibri"/>
        <family val="2"/>
        <scheme val="minor"/>
      </rPr>
      <t>in tool nulmeting:</t>
    </r>
    <r>
      <rPr>
        <sz val="11"/>
        <rFont val="Calibri"/>
        <family val="2"/>
        <scheme val="minor"/>
      </rPr>
      <t xml:space="preserve"> selecteer rekenblad (cf. knop bovenaan links) -&gt; Home &lt; Copy -&gt;</t>
    </r>
    <r>
      <rPr>
        <b/>
        <sz val="11"/>
        <color rgb="FF009999"/>
        <rFont val="Calibri"/>
        <family val="2"/>
        <scheme val="minor"/>
      </rPr>
      <t xml:space="preserve"> in tool maatregelen: </t>
    </r>
    <r>
      <rPr>
        <sz val="11"/>
        <rFont val="Calibri"/>
        <family val="2"/>
        <scheme val="minor"/>
      </rPr>
      <t>Home &lt; Paste &lt; Paste Values &lt; Values</t>
    </r>
  </si>
  <si>
    <t xml:space="preserve">data </t>
  </si>
  <si>
    <t>% 2020 - 2011</t>
  </si>
  <si>
    <t>1. Energieverbruik en CO2-emissies in 2011 (nulmeting - 1.538 graaddagen)</t>
  </si>
  <si>
    <t>Verwarming en sanitair warm water (SWW) in bestaande woningen - graaddagen 1.799</t>
  </si>
  <si>
    <t>van de huishoudens (HH) in 2020 hebben dakisolatie geplaatst tussen 2011-2020</t>
  </si>
  <si>
    <t>kWh, toename finaal verbruik elektriciteit (ELE)</t>
  </si>
  <si>
    <t>Verwarmingsinstallatie: Plaatsen van warmtepomp (WP) (lucht of grondgekoppelde)</t>
  </si>
  <si>
    <t>Verwarmingsinstallatie: Plaatsen van warmtepomp (WP) (lucht of grondgekoppelde) bij renovatie</t>
  </si>
  <si>
    <t>MWh, toename finaal verbruik elektriciteit (ELE)</t>
  </si>
  <si>
    <t>Verwarming en sanitair warm water (SWW) in bestaande gebouwen - 1.799 graaddagen</t>
  </si>
  <si>
    <r>
      <t xml:space="preserve">Finaal verbruik 2011 </t>
    </r>
    <r>
      <rPr>
        <b/>
        <sz val="11"/>
        <rFont val="Calibri"/>
        <family val="2"/>
        <scheme val="minor"/>
      </rPr>
      <t>in 1.538 graaddagen</t>
    </r>
  </si>
  <si>
    <r>
      <t xml:space="preserve">Finaal verbruik 2011 in </t>
    </r>
    <r>
      <rPr>
        <b/>
        <sz val="11"/>
        <rFont val="Calibri"/>
        <family val="2"/>
        <scheme val="minor"/>
      </rPr>
      <t>1.799 graaddagen</t>
    </r>
  </si>
  <si>
    <t>Daling tov Nulmeting 2011 - 1.799 graaddagen</t>
  </si>
  <si>
    <r>
      <t xml:space="preserve">Finaal verbruik 2011 </t>
    </r>
    <r>
      <rPr>
        <b/>
        <sz val="11"/>
        <rFont val="Calibri"/>
        <family val="2"/>
        <scheme val="minor"/>
      </rPr>
      <t xml:space="preserve">in 1.538 graaddagen </t>
    </r>
    <r>
      <rPr>
        <sz val="11"/>
        <rFont val="Calibri"/>
        <family val="2"/>
        <scheme val="minor"/>
      </rPr>
      <t>- opdeling verwarming/SWW versus elektrische toestellen/verlichting</t>
    </r>
  </si>
  <si>
    <t>FINAAL ENERGIEVERBRUIK [MWh - 1799 graaddagen] in 2020 volgens BAU scenario</t>
  </si>
  <si>
    <t>CO2 EMISSIES [ton - 1799 graaddagen] in 2020 volgens BAU scenario</t>
  </si>
  <si>
    <t>FINAAL ENERGIEVERBRUIK [MWh - 1799 graaddagen]</t>
  </si>
  <si>
    <t>Besparingskosten brandstof berekend tov afname bij benzine en dieselvoertuigen</t>
  </si>
  <si>
    <t>Technologische shift naar elektrische voertuigen (EV)</t>
  </si>
  <si>
    <t>FINAAL ENERGIEVERBRUIK [MWh - 1.799 graaddagen]</t>
  </si>
  <si>
    <t>FINAAL ENERGIEVERBRUIK [MWh - 1.799 graaddagen] in 2020 volgens BAU scenario</t>
  </si>
  <si>
    <t>CO2 EMISSIES [ton - 1.799 graaddagen] in 2020 volgens BAU scenario</t>
  </si>
  <si>
    <t>bonjour</t>
  </si>
  <si>
    <t>%reductie CO2 t.o.v. BAU in 2020</t>
  </si>
  <si>
    <t>%reductie CO2 t.o.v. nulmeting in 2011</t>
  </si>
  <si>
    <t>aandeel in jaarlijkse groei van PV verondersteld in Vlaanderen</t>
  </si>
  <si>
    <t>http://aps.vlaanderen.be/lokaal/burgemeestersconvenant/burgemeestersconvenant.htm</t>
  </si>
  <si>
    <t xml:space="preserve">versie </t>
  </si>
  <si>
    <t>datum</t>
  </si>
  <si>
    <t>wijziging</t>
  </si>
  <si>
    <t>locatie</t>
  </si>
  <si>
    <t>aanpassing formule euro per ton CO2 reductie warmtepompen MTRG HUISHOUDENS cel B18: / (B40-B39) in plaats van / B40</t>
  </si>
  <si>
    <t>MTRG HUISHOUDENS'!B18</t>
  </si>
  <si>
    <t>aanpassing rijen 46 tem rij 49 zodat celverwijzing naar verbruiken 2011 in plaats van naar CO2-emissies</t>
  </si>
  <si>
    <t>BAU 2020'!B46</t>
  </si>
  <si>
    <t>2011_02</t>
  </si>
  <si>
    <t>2011_03</t>
  </si>
  <si>
    <t>MTRG HUISHOUDENS'!H101</t>
  </si>
  <si>
    <t>aanpassing celverwijzing in formule in cel H101 (van J48 naar J46)</t>
  </si>
  <si>
    <t>versie: 2011_03</t>
  </si>
  <si>
    <t>GEMEENTE</t>
  </si>
  <si>
    <t>11029</t>
  </si>
  <si>
    <t>MORTSEL</t>
  </si>
  <si>
    <t>Bron:</t>
  </si>
  <si>
    <t>Studiedienst van de Vlaamse Regering (november 2011)</t>
  </si>
  <si>
    <t>Parameter</t>
  </si>
  <si>
    <t>Landbouw</t>
  </si>
  <si>
    <t>Mestbank (februari 2014)</t>
  </si>
  <si>
    <t>Aantal</t>
  </si>
  <si>
    <t>Cultuurgrond (ha)</t>
  </si>
  <si>
    <t>slachtkalveren</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</si>
  <si>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</si>
  <si>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</si>
  <si>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</si>
  <si>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</si>
  <si>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</si>
  <si>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</si>
  <si>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</si>
  <si>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</si>
  <si>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</si>
  <si>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</si>
  <si>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</si>
  <si>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</si>
  <si>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</si>
  <si>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</si>
  <si>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Eandis (juni 2013); Infrax (juni 2013)</t>
  </si>
  <si>
    <t>Gas</t>
  </si>
  <si>
    <t>Sector</t>
  </si>
  <si>
    <t>SubSector</t>
  </si>
  <si>
    <t>Volume kWh</t>
  </si>
  <si>
    <t>ENERGIESECTOR</t>
  </si>
  <si>
    <t>Andere energie</t>
  </si>
  <si>
    <t>Elektriciteit- en warmte sector</t>
  </si>
  <si>
    <t>Raffinaderijen</t>
  </si>
  <si>
    <t>Rest</t>
  </si>
  <si>
    <t>HUISHOUDENS</t>
  </si>
  <si>
    <t>Huishoudelijk</t>
  </si>
  <si>
    <t>INDUSTRIE</t>
  </si>
  <si>
    <t>LANDBOUW, BOSBOUW EN VISSERIJ</t>
  </si>
  <si>
    <t>Landbouw, bosbouw en visserij</t>
  </si>
  <si>
    <t>ONBEKEND</t>
  </si>
  <si>
    <t>Empty/onbekend</t>
  </si>
  <si>
    <t>OPENBARE VERLICHTING</t>
  </si>
  <si>
    <t>Openbare verlichting</t>
  </si>
  <si>
    <t>REST</t>
  </si>
  <si>
    <t>TERTIAIRE SECTOR</t>
  </si>
  <si>
    <t>TRANSPORT</t>
  </si>
  <si>
    <t>Luchtvaart</t>
  </si>
  <si>
    <t>Vervoer over water</t>
  </si>
  <si>
    <t>Vervoer via pijpleidingen</t>
  </si>
  <si>
    <t>Wegvervoer</t>
  </si>
  <si>
    <t>Wegtransport</t>
  </si>
  <si>
    <t xml:space="preserve">Bron: </t>
  </si>
  <si>
    <t>Verkeerscentrum Vlaanderen (mei 2013)</t>
  </si>
  <si>
    <t>cf. Bijlage A handleiding_nulmeting</t>
  </si>
  <si>
    <t>Voertuigkilometers</t>
  </si>
  <si>
    <t>WegType</t>
  </si>
  <si>
    <t>VoertuigType</t>
  </si>
  <si>
    <t>Openbaar Vervoer</t>
  </si>
  <si>
    <t>De Lijn (2011); VITO Emotion Road (augustus 2012)</t>
  </si>
  <si>
    <t>VervoerType</t>
  </si>
  <si>
    <t>Buskilometer_gemeente (km)</t>
  </si>
  <si>
    <t>Tramkilometer_gemeente (km)</t>
  </si>
  <si>
    <t>Wind Water PV</t>
  </si>
  <si>
    <t>VREG (15/05/2012)</t>
  </si>
  <si>
    <t>waterkracht</t>
  </si>
  <si>
    <t>windenergie op land</t>
  </si>
  <si>
    <t>zonne-energie &lt;= 10kW</t>
  </si>
  <si>
    <t>zonne-energie &gt; 10kW</t>
  </si>
  <si>
    <t>Woning</t>
  </si>
  <si>
    <t>SEE 2001</t>
  </si>
  <si>
    <t>andere energiebron</t>
  </si>
  <si>
    <t>butaan-propaan</t>
  </si>
  <si>
    <t>hout</t>
  </si>
  <si>
    <t>niet gespecifieerd</t>
  </si>
  <si>
    <t>steenkool</t>
  </si>
  <si>
    <t>stookolie</t>
  </si>
  <si>
    <t>warmtepomp</t>
  </si>
  <si>
    <t>Warmte Pomp en Zonneboilers Nieuwbouw</t>
  </si>
  <si>
    <t>VEA (juni 2013)</t>
  </si>
  <si>
    <t>Warmte Pomp</t>
  </si>
  <si>
    <t>ANDERE</t>
  </si>
  <si>
    <t>ANDERE MET KANTOOR</t>
  </si>
  <si>
    <t>INDUSTRIE MET KANTOOR</t>
  </si>
  <si>
    <t>KANTOOR</t>
  </si>
  <si>
    <t>SCHOOL</t>
  </si>
  <si>
    <t>WONEN</t>
  </si>
  <si>
    <t>WONEN MET KANTOOR</t>
  </si>
  <si>
    <t>Warmte Pomp en Zonneboilers Bestaande Bouw</t>
  </si>
  <si>
    <t>ZB HH</t>
  </si>
  <si>
    <t>ZB NHH</t>
  </si>
  <si>
    <t>WP NHH</t>
  </si>
  <si>
    <t>WP HH</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</si>
</sst>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 _€_-;\-* #,##0.00\ _€_-;_-* &quot;-&quot;??\ _€_-;_-@_-"/>
    <numFmt numFmtId="164" formatCode="&quot;€&quot;\ #,##0.00;[Red]&quot;€&quot;\ \-#,##0.00"/>
    <numFmt numFmtId="165" formatCode="_ * #,##0.00_ ;_ * \-#,##0.00_ ;_ * &quot;-&quot;??_ ;_ @_ "/>
    <numFmt numFmtId="166" formatCode="_(* #,##0.00_);_(* \(#,##0.00\);_(* &quot;-&quot;??_);_(@_)"/>
    <numFmt numFmtId="167" formatCode="#,##0.0"/>
    <numFmt numFmtId="168" formatCode="0.000"/>
    <numFmt numFmtId="169" formatCode="_-* #,##0_-;\-* #,##0_-;_-* &quot;-&quot;_-;_-@_-"/>
    <numFmt numFmtId="170" formatCode="_-* #,##0.00_-;\-* #,##0.00_-;_-* &quot;-&quot;??_-;_-@_-"/>
    <numFmt numFmtId="171" formatCode="_-* #,##0.00\ [$€]_-;\-* #,##0.00\ [$€]_-;_-* &quot;-&quot;??\ [$€]_-;_-@_-"/>
    <numFmt numFmtId="172" formatCode="0.0"/>
    <numFmt numFmtId="173" formatCode="_-&quot;£&quot;* #,##0_-;\-&quot;£&quot;* #,##0_-;_-&quot;£&quot;* &quot;-&quot;_-;_-@_-"/>
    <numFmt numFmtId="174" formatCode="_-&quot;£&quot;* #,##0.00_-;\-&quot;£&quot;* #,##0.00_-;_-&quot;£&quot;* &quot;-&quot;??_-;_-@_-"/>
    <numFmt numFmtId="175" formatCode="#,##0.000"/>
    <numFmt numFmtId="176" formatCode="0.0%"/>
    <numFmt numFmtId="177" formatCode="_ * #,##0_ ;_ * \-#,##0_ ;_ * &quot;-&quot;??_ ;_ @_ "/>
    <numFmt numFmtId="178" formatCode="0.0000"/>
    <numFmt numFmtId="179" formatCode="0.00000000%"/>
    <numFmt numFmtId="180" formatCode="0.00000000000"/>
    <numFmt numFmtId="181" formatCode="#,##0.0000"/>
  </numFmts>
  <fonts count="89">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8"/>
      <name val="Times New Roman"/>
      <family val="1"/>
    </font>
    <font>
      <b/>
      <sz val="8"/>
      <color theme="0" tint="-0.249977111117893"/>
      <name val="Times New Roman"/>
      <family val="1"/>
    </font>
    <font>
      <sz val="8"/>
      <name val="Times New Roman"/>
      <family val="1"/>
    </font>
    <font>
      <sz val="10"/>
      <color indexed="8"/>
      <name val="Arial"/>
      <family val="2"/>
    </font>
    <font>
      <sz val="11"/>
      <color indexed="8"/>
      <name val="Calibri"/>
      <family val="2"/>
    </font>
    <font>
      <b/>
      <sz val="9"/>
      <color indexed="81"/>
      <name val="Tahoma"/>
      <family val="2"/>
    </font>
    <font>
      <sz val="9"/>
      <color indexed="81"/>
      <name val="Tahoma"/>
      <family val="2"/>
    </font>
    <font>
      <vertAlign val="subscript"/>
      <sz val="11"/>
      <color theme="1"/>
      <name val="Calibri"/>
      <family val="2"/>
      <scheme val="minor"/>
    </font>
    <font>
      <sz val="11"/>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1"/>
      <name val="Calibri"/>
      <family val="2"/>
    </font>
    <font>
      <b/>
      <sz val="11"/>
      <name val="Calibri"/>
      <family val="2"/>
      <scheme val="minor"/>
    </font>
    <font>
      <sz val="11"/>
      <color theme="0"/>
      <name val="Calibri"/>
      <family val="2"/>
      <scheme val="minor"/>
    </font>
    <font>
      <i/>
      <sz val="11"/>
      <name val="Calibri"/>
      <family val="2"/>
      <scheme val="minor"/>
    </font>
    <font>
      <i/>
      <sz val="11"/>
      <color theme="1"/>
      <name val="Calibri"/>
      <family val="2"/>
      <scheme val="minor"/>
    </font>
    <font>
      <sz val="11"/>
      <color theme="1"/>
      <name val="Calibri"/>
      <family val="2"/>
    </font>
    <font>
      <sz val="10"/>
      <name val="MS Sans Serif"/>
      <family val="2"/>
    </font>
    <font>
      <b/>
      <sz val="12"/>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1"/>
      <color rgb="FF3F3F3F"/>
      <name val="Calibri"/>
      <family val="2"/>
      <scheme val="minor"/>
    </font>
    <font>
      <i/>
      <sz val="10"/>
      <color rgb="FF3F3F3F"/>
      <name val="Calibri"/>
      <family val="2"/>
      <scheme val="minor"/>
    </font>
    <font>
      <b/>
      <i/>
      <sz val="10"/>
      <color rgb="FF3F3F3F"/>
      <name val="Calibri"/>
      <family val="2"/>
      <scheme val="minor"/>
    </font>
    <font>
      <i/>
      <sz val="10"/>
      <color rgb="FF33CCCC"/>
      <name val="Calibri"/>
      <family val="2"/>
      <scheme val="minor"/>
    </font>
    <font>
      <b/>
      <sz val="14"/>
      <color theme="1"/>
      <name val="Calibri"/>
      <family val="2"/>
      <scheme val="minor"/>
    </font>
    <font>
      <b/>
      <sz val="14"/>
      <color rgb="FF009999"/>
      <name val="Calibri"/>
      <family val="2"/>
      <scheme val="minor"/>
    </font>
    <font>
      <vertAlign val="subscript"/>
      <sz val="11"/>
      <name val="Calibri"/>
      <family val="2"/>
      <scheme val="minor"/>
    </font>
    <font>
      <b/>
      <sz val="16"/>
      <color rgb="FF009999"/>
      <name val="Calibri"/>
      <family val="2"/>
      <scheme val="minor"/>
    </font>
    <font>
      <sz val="11"/>
      <color theme="10"/>
      <name val="Calibri"/>
      <family val="2"/>
    </font>
    <font>
      <u/>
      <sz val="11"/>
      <color rgb="FFFF0000"/>
      <name val="Calibri"/>
      <family val="2"/>
    </font>
    <font>
      <b/>
      <sz val="14"/>
      <color theme="0"/>
      <name val="Calibri"/>
      <family val="2"/>
      <scheme val="minor"/>
    </font>
    <font>
      <i/>
      <sz val="10"/>
      <color rgb="FFFF0000"/>
      <name val="Calibri"/>
      <family val="2"/>
      <scheme val="minor"/>
    </font>
    <font>
      <u/>
      <sz val="11"/>
      <name val="Calibri"/>
      <family val="2"/>
    </font>
    <font>
      <b/>
      <u/>
      <sz val="11"/>
      <name val="Calibri"/>
      <family val="2"/>
      <scheme val="minor"/>
    </font>
    <font>
      <b/>
      <i/>
      <sz val="11"/>
      <color theme="1"/>
      <name val="Calibri"/>
      <family val="2"/>
      <scheme val="minor"/>
    </font>
    <font>
      <i/>
      <sz val="10"/>
      <name val="Calibri"/>
      <family val="2"/>
      <scheme val="minor"/>
    </font>
    <font>
      <b/>
      <sz val="11"/>
      <color theme="0"/>
      <name val="Calibri"/>
      <family val="2"/>
      <scheme val="minor"/>
    </font>
    <font>
      <b/>
      <sz val="12"/>
      <name val="Calibri"/>
      <family val="2"/>
    </font>
    <font>
      <b/>
      <sz val="10"/>
      <name val="Arial"/>
      <family val="2"/>
    </font>
    <font>
      <sz val="10"/>
      <color theme="0"/>
      <name val="Calibri"/>
      <family val="2"/>
      <scheme val="minor"/>
    </font>
    <font>
      <sz val="10"/>
      <color rgb="FF3F3F3F"/>
      <name val="Calibri"/>
      <family val="2"/>
    </font>
    <font>
      <i/>
      <sz val="9"/>
      <color rgb="FF3F3F3F"/>
      <name val="Calibri"/>
      <family val="2"/>
    </font>
    <font>
      <b/>
      <sz val="11"/>
      <color rgb="FFFF0000"/>
      <name val="Calibri"/>
      <family val="2"/>
      <scheme val="minor"/>
    </font>
    <font>
      <strike/>
      <sz val="11"/>
      <name val="Calibri"/>
      <family val="2"/>
      <scheme val="minor"/>
    </font>
    <font>
      <sz val="11"/>
      <color rgb="FF000000"/>
      <name val="Calibri"/>
      <family val="2"/>
      <scheme val="minor"/>
    </font>
    <font>
      <i/>
      <sz val="10"/>
      <color theme="0" tint="-0.249977111117893"/>
      <name val="Calibri"/>
      <family val="2"/>
      <scheme val="minor"/>
    </font>
    <font>
      <i/>
      <sz val="11"/>
      <color rgb="FFFF0000"/>
      <name val="Calibri"/>
      <family val="2"/>
      <scheme val="minor"/>
    </font>
    <font>
      <sz val="24"/>
      <name val="Calibri"/>
      <family val="2"/>
      <scheme val="minor"/>
    </font>
    <font>
      <b/>
      <sz val="15"/>
      <name val="Calibri"/>
      <family val="2"/>
      <scheme val="minor"/>
    </font>
    <font>
      <b/>
      <sz val="11"/>
      <color rgb="FF000000"/>
      <name val="Calibri"/>
      <family val="2"/>
    </font>
    <font>
      <sz val="11"/>
      <color rgb="FFFF0000"/>
      <name val="Calibri"/>
      <family val="2"/>
    </font>
    <font>
      <b/>
      <sz val="11"/>
      <color rgb="FFFF0000"/>
      <name val="Calibri"/>
      <family val="2"/>
    </font>
    <font>
      <b/>
      <sz val="11"/>
      <color theme="0" tint="-0.34998626667073579"/>
      <name val="Calibri"/>
      <family val="2"/>
      <scheme val="minor"/>
    </font>
    <font>
      <sz val="11"/>
      <color theme="0" tint="-0.34998626667073579"/>
      <name val="Calibri"/>
      <family val="2"/>
      <scheme val="minor"/>
    </font>
    <font>
      <i/>
      <sz val="11"/>
      <color theme="0" tint="-0.499984740745262"/>
      <name val="Calibri"/>
      <family val="2"/>
    </font>
    <font>
      <i/>
      <sz val="11"/>
      <color theme="0" tint="-0.499984740745262"/>
      <name val="Calibri"/>
      <family val="2"/>
      <scheme val="minor"/>
    </font>
    <font>
      <b/>
      <i/>
      <sz val="11"/>
      <color theme="0" tint="-0.499984740745262"/>
      <name val="Calibri"/>
      <family val="2"/>
      <scheme val="minor"/>
    </font>
    <font>
      <b/>
      <sz val="11"/>
      <color theme="0" tint="-0.499984740745262"/>
      <name val="Calibri"/>
      <family val="2"/>
      <scheme val="minor"/>
    </font>
    <font>
      <sz val="11"/>
      <color theme="0" tint="-0.499984740745262"/>
      <name val="Calibri"/>
      <family val="2"/>
      <scheme val="minor"/>
    </font>
  </fonts>
  <fills count="31">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patternFill>
    </fill>
    <fill>
      <patternFill patternType="solid">
        <fgColor theme="5" tint="0.39997558519241921"/>
        <bgColor indexed="65"/>
      </patternFill>
    </fill>
    <fill>
      <patternFill patternType="solid">
        <fgColor theme="6" tint="0.79998168889431442"/>
        <bgColor indexed="65"/>
      </patternFill>
    </fill>
    <fill>
      <patternFill patternType="solid">
        <fgColor rgb="FF33CCCC"/>
        <bgColor indexed="64"/>
      </patternFill>
    </fill>
    <fill>
      <patternFill patternType="solid">
        <fgColor rgb="FF33CCCC"/>
        <bgColor theme="4"/>
      </patternFill>
    </fill>
    <fill>
      <patternFill patternType="solid">
        <fgColor rgb="FFF2F2F2"/>
      </patternFill>
    </fill>
    <fill>
      <patternFill patternType="solid">
        <fgColor theme="8" tint="0.79998168889431442"/>
        <bgColor indexed="65"/>
      </patternFill>
    </fill>
    <fill>
      <patternFill patternType="solid">
        <fgColor theme="7"/>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009999"/>
        <bgColor indexed="64"/>
      </patternFill>
    </fill>
    <fill>
      <patternFill patternType="solid">
        <fgColor theme="0" tint="-4.9989318521683403E-2"/>
        <bgColor indexed="64"/>
      </patternFill>
    </fill>
    <fill>
      <patternFill patternType="solid">
        <fgColor rgb="FF7030A0"/>
        <bgColor indexed="64"/>
      </patternFill>
    </fill>
    <fill>
      <patternFill patternType="solid">
        <fgColor theme="6" tint="0.39997558519241921"/>
        <bgColor indexed="64"/>
      </patternFill>
    </fill>
    <fill>
      <patternFill patternType="solid">
        <fgColor rgb="FF33CCCC"/>
        <bgColor rgb="FF000000"/>
      </patternFill>
    </fill>
    <fill>
      <patternFill patternType="solid">
        <fgColor rgb="FFFCD5B4"/>
        <bgColor rgb="FF000000"/>
      </patternFill>
    </fill>
    <fill>
      <patternFill patternType="solid">
        <fgColor rgb="FFC4D79B"/>
        <bgColor rgb="FF000000"/>
      </patternFill>
    </fill>
    <fill>
      <patternFill patternType="solid">
        <fgColor rgb="FFD9D9D9"/>
        <bgColor rgb="FF000000"/>
      </patternFill>
    </fill>
  </fills>
  <borders count="91">
    <border>
      <left/>
      <right/>
      <top/>
      <bottom/>
      <diagonal/>
    </border>
    <border>
      <left/>
      <right/>
      <top/>
      <bottom style="thick">
        <color theme="4"/>
      </bottom>
      <diagonal/>
    </border>
    <border>
      <left/>
      <right/>
      <top/>
      <bottom style="medium">
        <color theme="4" tint="0.3999755851924192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style="thin">
        <color rgb="FF3F3F3F"/>
      </left>
      <right style="thin">
        <color rgb="FF3F3F3F"/>
      </right>
      <top style="thin">
        <color rgb="FF3F3F3F"/>
      </top>
      <bottom style="thin">
        <color rgb="FF3F3F3F"/>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style="dashed">
        <color auto="1"/>
      </left>
      <right/>
      <top style="dashed">
        <color auto="1"/>
      </top>
      <bottom style="dashed">
        <color auto="1"/>
      </bottom>
      <diagonal/>
    </border>
    <border>
      <left/>
      <right style="dashed">
        <color auto="1"/>
      </right>
      <top style="dashed">
        <color auto="1"/>
      </top>
      <bottom style="dashed">
        <color auto="1"/>
      </bottom>
      <diagonal/>
    </border>
    <border>
      <left/>
      <right/>
      <top style="dashed">
        <color auto="1"/>
      </top>
      <bottom style="dashed">
        <color auto="1"/>
      </bottom>
      <diagonal/>
    </border>
    <border>
      <left style="thin">
        <color rgb="FF33CCCC"/>
      </left>
      <right/>
      <top/>
      <bottom/>
      <diagonal/>
    </border>
    <border>
      <left/>
      <right style="thin">
        <color rgb="FF33CCCC"/>
      </right>
      <top/>
      <bottom/>
      <diagonal/>
    </border>
    <border>
      <left style="thin">
        <color rgb="FF33CCCC"/>
      </left>
      <right/>
      <top style="dashed">
        <color auto="1"/>
      </top>
      <bottom style="dashed">
        <color auto="1"/>
      </bottom>
      <diagonal/>
    </border>
    <border>
      <left/>
      <right style="thin">
        <color rgb="FF33CCCC"/>
      </right>
      <top style="dashed">
        <color auto="1"/>
      </top>
      <bottom style="dashed">
        <color auto="1"/>
      </bottom>
      <diagonal/>
    </border>
    <border>
      <left style="thin">
        <color rgb="FF33CCCC"/>
      </left>
      <right/>
      <top/>
      <bottom style="thin">
        <color rgb="FF33CCCC"/>
      </bottom>
      <diagonal/>
    </border>
    <border>
      <left/>
      <right style="thin">
        <color rgb="FF33CCCC"/>
      </right>
      <top/>
      <bottom style="thin">
        <color rgb="FF33CCCC"/>
      </bottom>
      <diagonal/>
    </border>
    <border>
      <left style="dashed">
        <color auto="1"/>
      </left>
      <right style="dashed">
        <color auto="1"/>
      </right>
      <top/>
      <bottom style="dashed">
        <color auto="1"/>
      </bottom>
      <diagonal/>
    </border>
    <border>
      <left style="dashed">
        <color auto="1"/>
      </left>
      <right style="dashed">
        <color auto="1"/>
      </right>
      <top style="dashed">
        <color auto="1"/>
      </top>
      <bottom style="dashed">
        <color auto="1"/>
      </bottom>
      <diagonal/>
    </border>
    <border>
      <left style="dashed">
        <color auto="1"/>
      </left>
      <right style="dashed">
        <color auto="1"/>
      </right>
      <top style="dashed">
        <color auto="1"/>
      </top>
      <bottom/>
      <diagonal/>
    </border>
    <border>
      <left style="dashed">
        <color auto="1"/>
      </left>
      <right/>
      <top style="dashed">
        <color auto="1"/>
      </top>
      <bottom/>
      <diagonal/>
    </border>
    <border>
      <left style="thin">
        <color rgb="FF33CCCC"/>
      </left>
      <right/>
      <top style="dashed">
        <color auto="1"/>
      </top>
      <bottom/>
      <diagonal/>
    </border>
    <border>
      <left/>
      <right/>
      <top style="dashed">
        <color auto="1"/>
      </top>
      <bottom/>
      <diagonal/>
    </border>
    <border>
      <left/>
      <right style="thin">
        <color rgb="FF33CCCC"/>
      </right>
      <top style="dashed">
        <color auto="1"/>
      </top>
      <bottom/>
      <diagonal/>
    </border>
    <border>
      <left style="medium">
        <color indexed="64"/>
      </left>
      <right/>
      <top/>
      <bottom style="thin">
        <color rgb="FF009999"/>
      </bottom>
      <diagonal/>
    </border>
    <border>
      <left/>
      <right/>
      <top/>
      <bottom style="thin">
        <color rgb="FF009999"/>
      </bottom>
      <diagonal/>
    </border>
    <border>
      <left/>
      <right style="medium">
        <color indexed="64"/>
      </right>
      <top/>
      <bottom style="thin">
        <color rgb="FF009999"/>
      </bottom>
      <diagonal/>
    </border>
    <border>
      <left/>
      <right style="medium">
        <color auto="1"/>
      </right>
      <top style="thin">
        <color rgb="FF009999"/>
      </top>
      <bottom/>
      <diagonal/>
    </border>
    <border>
      <left/>
      <right/>
      <top style="thin">
        <color rgb="FF009999"/>
      </top>
      <bottom/>
      <diagonal/>
    </border>
    <border>
      <left style="medium">
        <color indexed="64"/>
      </left>
      <right/>
      <top style="thin">
        <color rgb="FF009999"/>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dashed">
        <color auto="1"/>
      </bottom>
      <diagonal/>
    </border>
    <border>
      <left/>
      <right/>
      <top style="thick">
        <color rgb="FF33CCCC"/>
      </top>
      <bottom style="medium">
        <color theme="1"/>
      </bottom>
      <diagonal/>
    </border>
    <border>
      <left/>
      <right style="medium">
        <color indexed="64"/>
      </right>
      <top style="thick">
        <color rgb="FF33CCCC"/>
      </top>
      <bottom style="medium">
        <color theme="1"/>
      </bottom>
      <diagonal/>
    </border>
    <border>
      <left/>
      <right style="medium">
        <color indexed="64"/>
      </right>
      <top style="medium">
        <color indexed="64"/>
      </top>
      <bottom style="thick">
        <color rgb="FF33CCCC"/>
      </bottom>
      <diagonal/>
    </border>
    <border>
      <left style="medium">
        <color theme="1"/>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top style="thick">
        <color rgb="FF33CCCC"/>
      </top>
      <bottom/>
      <diagonal/>
    </border>
    <border>
      <left/>
      <right style="medium">
        <color auto="1"/>
      </right>
      <top style="thick">
        <color rgb="FF33CCCC"/>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rgb="FF33CCCC"/>
      </right>
      <top/>
      <bottom style="dashed">
        <color auto="1"/>
      </bottom>
      <diagonal/>
    </border>
    <border>
      <left style="thin">
        <color rgb="FF33CCCC"/>
      </left>
      <right/>
      <top style="thin">
        <color rgb="FF33CCCC"/>
      </top>
      <bottom style="thin">
        <color rgb="FF33CCCC"/>
      </bottom>
      <diagonal/>
    </border>
    <border>
      <left/>
      <right/>
      <top style="thin">
        <color rgb="FF33CCCC"/>
      </top>
      <bottom style="thin">
        <color rgb="FF33CCCC"/>
      </bottom>
      <diagonal/>
    </border>
    <border>
      <left/>
      <right style="thin">
        <color rgb="FF33CCCC"/>
      </right>
      <top style="thin">
        <color rgb="FF33CCCC"/>
      </top>
      <bottom style="thin">
        <color rgb="FF33CCCC"/>
      </bottom>
      <diagonal/>
    </border>
    <border>
      <left style="thick">
        <color indexed="64"/>
      </left>
      <right style="thick">
        <color indexed="64"/>
      </right>
      <top style="thick">
        <color indexed="64"/>
      </top>
      <bottom style="thick">
        <color indexed="64"/>
      </bottom>
      <diagonal/>
    </border>
  </borders>
  <cellStyleXfs count="163">
    <xf numFmtId="0" fontId="0" fillId="0" borderId="0"/>
    <xf numFmtId="0" fontId="4" fillId="0" borderId="0"/>
    <xf numFmtId="0" fontId="7" fillId="0" borderId="0"/>
    <xf numFmtId="0" fontId="7" fillId="0" borderId="0"/>
    <xf numFmtId="0" fontId="11" fillId="0" borderId="0"/>
    <xf numFmtId="4" fontId="17" fillId="2" borderId="11">
      <alignment horizontal="right" vertical="center"/>
    </xf>
    <xf numFmtId="0" fontId="12" fillId="3" borderId="12" applyFont="0" applyBorder="0">
      <alignment vertical="center"/>
    </xf>
    <xf numFmtId="0" fontId="18" fillId="4" borderId="0" applyNumberFormat="0" applyBorder="0" applyAlignment="0" applyProtection="0"/>
    <xf numFmtId="0" fontId="19" fillId="0" borderId="0" applyNumberFormat="0" applyAlignment="0" applyProtection="0"/>
    <xf numFmtId="167" fontId="12" fillId="0" borderId="7">
      <alignment vertical="center"/>
    </xf>
    <xf numFmtId="167" fontId="12" fillId="0" borderId="7">
      <alignment vertical="center"/>
    </xf>
    <xf numFmtId="167" fontId="12" fillId="0" borderId="7">
      <alignment vertical="center"/>
    </xf>
    <xf numFmtId="43" fontId="4" fillId="0" borderId="0" applyFont="0" applyFill="0" applyBorder="0" applyAlignment="0" applyProtection="0"/>
    <xf numFmtId="0" fontId="7" fillId="5" borderId="0" applyNumberFormat="0" applyBorder="0" applyAlignment="0">
      <protection hidden="1"/>
    </xf>
    <xf numFmtId="0" fontId="20" fillId="0" borderId="0" applyNumberFormat="0" applyFont="0" applyAlignment="0"/>
    <xf numFmtId="169"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0" fontId="21" fillId="0" borderId="0" applyNumberFormat="0" applyFill="0" applyBorder="0" applyAlignment="0" applyProtection="0">
      <alignment vertical="top"/>
      <protection locked="0"/>
    </xf>
    <xf numFmtId="172" fontId="16" fillId="5" borderId="7">
      <alignment horizontal="right" vertical="center"/>
    </xf>
    <xf numFmtId="172" fontId="16" fillId="5" borderId="7">
      <alignment horizontal="right" vertical="center"/>
    </xf>
    <xf numFmtId="172" fontId="16" fillId="5" borderId="7">
      <alignment horizontal="right" vertical="center"/>
    </xf>
    <xf numFmtId="172" fontId="22" fillId="6" borderId="7">
      <alignment horizontal="right" vertical="center"/>
    </xf>
    <xf numFmtId="172" fontId="22" fillId="6" borderId="7">
      <alignment horizontal="right" vertical="center"/>
    </xf>
    <xf numFmtId="172" fontId="22" fillId="6" borderId="7">
      <alignment horizontal="right" vertical="center"/>
    </xf>
    <xf numFmtId="166" fontId="7" fillId="0" borderId="0" applyFont="0" applyFill="0" applyBorder="0" applyAlignment="0" applyProtection="0"/>
    <xf numFmtId="0" fontId="7" fillId="7" borderId="0" applyNumberFormat="0" applyFont="0" applyBorder="0" applyAlignment="0"/>
    <xf numFmtId="169" fontId="23" fillId="0" borderId="0" applyFont="0" applyFill="0" applyBorder="0" applyAlignment="0" applyProtection="0"/>
    <xf numFmtId="170" fontId="23" fillId="0" borderId="0" applyFont="0" applyFill="0" applyBorder="0" applyAlignment="0" applyProtection="0"/>
    <xf numFmtId="173" fontId="23" fillId="0" borderId="0" applyFont="0" applyFill="0" applyBorder="0" applyAlignment="0" applyProtection="0"/>
    <xf numFmtId="174" fontId="23" fillId="0" borderId="0" applyFont="0" applyFill="0" applyBorder="0" applyAlignment="0" applyProtection="0"/>
    <xf numFmtId="0" fontId="24" fillId="0" borderId="0"/>
    <xf numFmtId="0" fontId="7" fillId="0" borderId="0"/>
    <xf numFmtId="0" fontId="24" fillId="0" borderId="0"/>
    <xf numFmtId="0" fontId="11" fillId="0" borderId="0"/>
    <xf numFmtId="0" fontId="7" fillId="0" borderId="0"/>
    <xf numFmtId="4" fontId="17" fillId="0" borderId="7" applyFill="0" applyBorder="0" applyProtection="0">
      <alignment horizontal="right" vertical="center"/>
    </xf>
    <xf numFmtId="0" fontId="12" fillId="8" borderId="13" applyProtection="0">
      <alignment vertical="center"/>
    </xf>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0" fontId="25" fillId="1" borderId="14" applyNumberFormat="0" applyProtection="0">
      <alignment horizontal="left" vertical="top"/>
    </xf>
    <xf numFmtId="0" fontId="26" fillId="0" borderId="0"/>
    <xf numFmtId="173" fontId="7" fillId="0" borderId="0" applyFont="0" applyFill="0" applyBorder="0" applyAlignment="0" applyProtection="0"/>
    <xf numFmtId="174" fontId="7" fillId="0" borderId="0" applyFont="0" applyFill="0" applyBorder="0" applyAlignment="0" applyProtection="0"/>
    <xf numFmtId="173" fontId="7" fillId="0" borderId="0" applyFont="0" applyFill="0" applyBorder="0" applyAlignment="0" applyProtection="0"/>
    <xf numFmtId="174" fontId="7" fillId="0" borderId="0" applyFont="0" applyFill="0" applyBorder="0" applyAlignment="0" applyProtection="0"/>
    <xf numFmtId="0" fontId="27" fillId="0" borderId="15">
      <alignment horizontal="left"/>
    </xf>
    <xf numFmtId="9" fontId="4" fillId="0" borderId="0" applyFont="0" applyFill="0" applyBorder="0" applyAlignment="0" applyProtection="0"/>
    <xf numFmtId="165" fontId="4" fillId="0" borderId="0" applyFont="0" applyFill="0" applyBorder="0" applyAlignment="0" applyProtection="0"/>
    <xf numFmtId="0" fontId="30" fillId="12" borderId="0" applyNumberFormat="0" applyBorder="0" applyAlignment="0" applyProtection="0"/>
    <xf numFmtId="0" fontId="30" fillId="1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4" fillId="0" borderId="0"/>
    <xf numFmtId="0" fontId="7" fillId="0" borderId="0"/>
    <xf numFmtId="0" fontId="7" fillId="0" borderId="0"/>
    <xf numFmtId="0" fontId="34" fillId="0" borderId="0"/>
    <xf numFmtId="0" fontId="7" fillId="0" borderId="0"/>
    <xf numFmtId="0" fontId="7" fillId="0" borderId="0"/>
    <xf numFmtId="0" fontId="34" fillId="0" borderId="0"/>
    <xf numFmtId="0" fontId="34" fillId="0" borderId="0"/>
    <xf numFmtId="0" fontId="7" fillId="0" borderId="0"/>
    <xf numFmtId="0" fontId="7" fillId="0" borderId="0"/>
    <xf numFmtId="0" fontId="7" fillId="0" borderId="0"/>
    <xf numFmtId="0" fontId="7" fillId="0" borderId="0"/>
    <xf numFmtId="0" fontId="34" fillId="0" borderId="0"/>
    <xf numFmtId="0" fontId="4" fillId="14" borderId="0" applyNumberFormat="0" applyBorder="0" applyAlignment="0" applyProtection="0"/>
    <xf numFmtId="0" fontId="36" fillId="0" borderId="0" applyNumberFormat="0" applyFill="0" applyBorder="0" applyAlignment="0" applyProtection="0">
      <alignment vertical="top"/>
      <protection locked="0"/>
    </xf>
    <xf numFmtId="0" fontId="50" fillId="17" borderId="31" applyNumberFormat="0" applyAlignment="0" applyProtection="0"/>
    <xf numFmtId="0" fontId="4" fillId="18" borderId="0" applyNumberFormat="0" applyBorder="0" applyAlignment="0" applyProtection="0"/>
    <xf numFmtId="0" fontId="30" fillId="19" borderId="0" applyNumberFormat="0" applyBorder="0" applyAlignment="0" applyProtection="0"/>
    <xf numFmtId="171" fontId="4" fillId="0" borderId="0"/>
    <xf numFmtId="171" fontId="36" fillId="0" borderId="0" applyNumberFormat="0" applyFill="0" applyBorder="0" applyAlignment="0" applyProtection="0">
      <alignment vertical="top"/>
      <protection locked="0"/>
    </xf>
    <xf numFmtId="171" fontId="7" fillId="0" borderId="0"/>
    <xf numFmtId="171" fontId="3" fillId="0" borderId="2" applyNumberFormat="0" applyFill="0" applyAlignment="0" applyProtection="0"/>
    <xf numFmtId="171" fontId="2" fillId="0" borderId="1" applyNumberFormat="0" applyFill="0" applyAlignment="0" applyProtection="0"/>
    <xf numFmtId="171" fontId="1" fillId="0" borderId="0" applyNumberFormat="0" applyFill="0" applyBorder="0" applyAlignment="0" applyProtection="0"/>
    <xf numFmtId="171" fontId="3" fillId="0" borderId="0" applyNumberFormat="0" applyFill="0" applyBorder="0" applyAlignment="0" applyProtection="0"/>
    <xf numFmtId="0" fontId="3" fillId="0" borderId="0" applyNumberFormat="0" applyFill="0" applyBorder="0" applyAlignment="0" applyProtection="0"/>
  </cellStyleXfs>
  <cellXfs count="811">
    <xf numFmtId="0" fontId="0" fillId="0" borderId="0" xfId="0"/>
    <xf numFmtId="0" fontId="16" fillId="0" borderId="0" xfId="0" applyFont="1"/>
    <xf numFmtId="0" fontId="0" fillId="0" borderId="0" xfId="0" applyFill="1"/>
    <xf numFmtId="0" fontId="6" fillId="10" borderId="7" xfId="0" applyFont="1" applyFill="1" applyBorder="1"/>
    <xf numFmtId="0" fontId="0" fillId="0" borderId="0" xfId="0" applyFill="1" applyBorder="1"/>
    <xf numFmtId="0" fontId="0" fillId="0" borderId="0" xfId="0" applyBorder="1"/>
    <xf numFmtId="0" fontId="0" fillId="0" borderId="12" xfId="0" applyBorder="1"/>
    <xf numFmtId="0" fontId="0" fillId="0" borderId="24" xfId="0" applyBorder="1"/>
    <xf numFmtId="0" fontId="32" fillId="0" borderId="0" xfId="0" applyFont="1"/>
    <xf numFmtId="0" fontId="16" fillId="0" borderId="0" xfId="0" applyFont="1" applyFill="1"/>
    <xf numFmtId="1" fontId="0" fillId="0" borderId="0" xfId="0" applyNumberFormat="1" applyBorder="1"/>
    <xf numFmtId="0" fontId="30" fillId="0" borderId="0" xfId="54" applyFill="1"/>
    <xf numFmtId="0" fontId="16" fillId="0" borderId="0" xfId="54" applyFont="1" applyFill="1"/>
    <xf numFmtId="1" fontId="0" fillId="0" borderId="0" xfId="0" applyNumberFormat="1" applyFill="1" applyBorder="1"/>
    <xf numFmtId="0" fontId="38" fillId="0" borderId="0" xfId="0" applyFont="1"/>
    <xf numFmtId="0" fontId="36" fillId="0" borderId="0" xfId="151" applyAlignment="1" applyProtection="1"/>
    <xf numFmtId="0" fontId="0" fillId="0" borderId="26" xfId="0" applyBorder="1"/>
    <xf numFmtId="0" fontId="42" fillId="0" borderId="0" xfId="0" applyFont="1" applyFill="1" applyBorder="1" applyAlignment="1">
      <alignment horizontal="left" vertical="center" wrapText="1"/>
    </xf>
    <xf numFmtId="0" fontId="39" fillId="0" borderId="0"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3" fillId="0" borderId="0" xfId="0" applyFont="1" applyFill="1" applyBorder="1" applyAlignment="1">
      <alignment horizontal="left" vertical="center" wrapText="1"/>
    </xf>
    <xf numFmtId="0" fontId="44" fillId="0" borderId="0" xfId="0" applyFont="1" applyFill="1"/>
    <xf numFmtId="0" fontId="19" fillId="0" borderId="0" xfId="0" applyFont="1"/>
    <xf numFmtId="0" fontId="42" fillId="0" borderId="26" xfId="0" applyFont="1" applyFill="1" applyBorder="1" applyAlignment="1">
      <alignment horizontal="left" vertical="center" wrapText="1"/>
    </xf>
    <xf numFmtId="0" fontId="16" fillId="0" borderId="25" xfId="0" applyFont="1" applyFill="1" applyBorder="1" applyAlignment="1">
      <alignment horizontal="justify" wrapText="1"/>
    </xf>
    <xf numFmtId="0" fontId="16" fillId="0" borderId="0" xfId="0" applyFont="1" applyFill="1" applyBorder="1" applyAlignment="1">
      <alignment horizontal="justify" wrapText="1"/>
    </xf>
    <xf numFmtId="0" fontId="35" fillId="9" borderId="0" xfId="0" applyFont="1" applyFill="1" applyBorder="1" applyAlignment="1">
      <alignment horizontal="left" vertical="center" wrapText="1"/>
    </xf>
    <xf numFmtId="0" fontId="0" fillId="0" borderId="0" xfId="0" applyBorder="1" applyAlignment="1">
      <alignment vertical="top"/>
    </xf>
    <xf numFmtId="0" fontId="0" fillId="0" borderId="25" xfId="0" applyBorder="1" applyAlignment="1">
      <alignment vertical="top" wrapText="1"/>
    </xf>
    <xf numFmtId="0" fontId="0" fillId="0" borderId="25" xfId="0" applyFill="1" applyBorder="1"/>
    <xf numFmtId="0" fontId="0" fillId="0" borderId="26" xfId="0" applyFill="1" applyBorder="1"/>
    <xf numFmtId="0" fontId="16" fillId="0" borderId="0" xfId="0" applyFont="1" applyBorder="1"/>
    <xf numFmtId="0" fontId="46" fillId="9" borderId="23" xfId="0" applyFont="1" applyFill="1" applyBorder="1" applyAlignment="1">
      <alignment horizontal="left" vertical="center" wrapText="1"/>
    </xf>
    <xf numFmtId="0" fontId="46" fillId="9" borderId="18" xfId="0" applyFont="1" applyFill="1" applyBorder="1" applyAlignment="1">
      <alignment horizontal="left" vertical="center" wrapText="1"/>
    </xf>
    <xf numFmtId="0" fontId="35" fillId="9" borderId="12" xfId="0" applyFont="1" applyFill="1" applyBorder="1" applyAlignment="1">
      <alignment horizontal="left" vertical="center" wrapText="1"/>
    </xf>
    <xf numFmtId="0" fontId="42" fillId="0" borderId="12" xfId="0" applyFont="1" applyFill="1" applyBorder="1" applyAlignment="1">
      <alignment horizontal="left" vertical="center" wrapText="1"/>
    </xf>
    <xf numFmtId="0" fontId="43" fillId="0" borderId="20"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0" fillId="0" borderId="20" xfId="0" applyBorder="1"/>
    <xf numFmtId="0" fontId="16" fillId="0" borderId="12" xfId="0" applyFont="1" applyBorder="1" applyAlignment="1">
      <alignment horizontal="justify" wrapText="1"/>
    </xf>
    <xf numFmtId="0" fontId="16" fillId="0" borderId="20" xfId="0" applyFont="1" applyBorder="1"/>
    <xf numFmtId="0" fontId="0" fillId="0" borderId="12" xfId="0" applyBorder="1" applyAlignment="1">
      <alignment horizontal="justify" wrapText="1"/>
    </xf>
    <xf numFmtId="0" fontId="39" fillId="0" borderId="12" xfId="0" applyFont="1" applyFill="1" applyBorder="1" applyAlignment="1">
      <alignment horizontal="left" vertical="center" wrapText="1"/>
    </xf>
    <xf numFmtId="0" fontId="39" fillId="0" borderId="20" xfId="0" applyFont="1" applyFill="1" applyBorder="1" applyAlignment="1">
      <alignment horizontal="left" vertical="center" wrapText="1"/>
    </xf>
    <xf numFmtId="0" fontId="42" fillId="0" borderId="20" xfId="0" applyFont="1" applyFill="1" applyBorder="1" applyAlignment="1">
      <alignment horizontal="left" vertical="center" wrapText="1"/>
    </xf>
    <xf numFmtId="0" fontId="36" fillId="0" borderId="27" xfId="151" applyBorder="1" applyAlignment="1" applyProtection="1"/>
    <xf numFmtId="0" fontId="0" fillId="0" borderId="30" xfId="0" applyBorder="1"/>
    <xf numFmtId="0" fontId="0" fillId="0" borderId="29" xfId="0" applyBorder="1"/>
    <xf numFmtId="0" fontId="30" fillId="0" borderId="20" xfId="0" applyFont="1" applyFill="1" applyBorder="1" applyAlignment="1">
      <alignment horizontal="justify" wrapText="1"/>
    </xf>
    <xf numFmtId="0" fontId="42" fillId="0" borderId="29" xfId="0" applyFont="1" applyFill="1" applyBorder="1" applyAlignment="1">
      <alignment horizontal="left" vertical="center" wrapText="1"/>
    </xf>
    <xf numFmtId="0" fontId="42" fillId="0" borderId="30" xfId="0" applyFont="1" applyFill="1" applyBorder="1" applyAlignment="1">
      <alignment horizontal="left" vertical="center" wrapText="1"/>
    </xf>
    <xf numFmtId="0" fontId="16" fillId="0" borderId="28" xfId="0" applyFont="1" applyFill="1" applyBorder="1" applyAlignment="1">
      <alignment horizontal="justify" wrapText="1"/>
    </xf>
    <xf numFmtId="0" fontId="16" fillId="0" borderId="20" xfId="0" applyFont="1" applyFill="1" applyBorder="1" applyAlignment="1">
      <alignment horizontal="justify" wrapText="1"/>
    </xf>
    <xf numFmtId="0" fontId="16" fillId="0" borderId="24" xfId="0" applyFont="1" applyFill="1" applyBorder="1" applyAlignment="1">
      <alignment horizontal="justify" wrapText="1"/>
    </xf>
    <xf numFmtId="0" fontId="16" fillId="0" borderId="19" xfId="0" applyFont="1" applyFill="1" applyBorder="1" applyAlignment="1">
      <alignment horizontal="justify" wrapText="1"/>
    </xf>
    <xf numFmtId="0" fontId="16" fillId="0" borderId="9" xfId="0" applyFont="1" applyFill="1" applyBorder="1" applyAlignment="1">
      <alignment horizontal="justify" wrapText="1"/>
    </xf>
    <xf numFmtId="0" fontId="35" fillId="9" borderId="24" xfId="0" applyFont="1" applyFill="1" applyBorder="1" applyAlignment="1">
      <alignment horizontal="left" vertical="center" wrapText="1"/>
    </xf>
    <xf numFmtId="0" fontId="35" fillId="9" borderId="19" xfId="0" applyFont="1" applyFill="1" applyBorder="1" applyAlignment="1">
      <alignment horizontal="left" vertical="center" wrapText="1"/>
    </xf>
    <xf numFmtId="0" fontId="43" fillId="0" borderId="18" xfId="0" applyFont="1" applyFill="1" applyBorder="1" applyAlignment="1">
      <alignment horizontal="left" vertical="center" wrapText="1"/>
    </xf>
    <xf numFmtId="0" fontId="43" fillId="0" borderId="22" xfId="0" applyFont="1" applyFill="1" applyBorder="1" applyAlignment="1">
      <alignment horizontal="left" vertical="center" wrapText="1"/>
    </xf>
    <xf numFmtId="0" fontId="0" fillId="0" borderId="19" xfId="0" applyBorder="1"/>
    <xf numFmtId="0" fontId="0" fillId="0" borderId="9" xfId="0" applyBorder="1"/>
    <xf numFmtId="0" fontId="40" fillId="9" borderId="10" xfId="0" applyFont="1" applyFill="1" applyBorder="1" applyAlignment="1">
      <alignment horizontal="left" vertical="center" wrapText="1"/>
    </xf>
    <xf numFmtId="0" fontId="40" fillId="9" borderId="21" xfId="0" applyFont="1" applyFill="1" applyBorder="1" applyAlignment="1">
      <alignment horizontal="left" vertical="center" wrapText="1"/>
    </xf>
    <xf numFmtId="0" fontId="40" fillId="9" borderId="8" xfId="0" applyFont="1" applyFill="1" applyBorder="1" applyAlignment="1">
      <alignment horizontal="left" vertical="center" wrapText="1"/>
    </xf>
    <xf numFmtId="0" fontId="7" fillId="15" borderId="21" xfId="0" applyFont="1" applyFill="1" applyBorder="1" applyAlignment="1">
      <alignment horizontal="left" vertical="center" wrapText="1"/>
    </xf>
    <xf numFmtId="0" fontId="16" fillId="15" borderId="8" xfId="0" applyFont="1" applyFill="1" applyBorder="1" applyAlignment="1">
      <alignment horizontal="justify" wrapText="1"/>
    </xf>
    <xf numFmtId="0" fontId="40" fillId="9" borderId="18" xfId="0" applyFont="1" applyFill="1" applyBorder="1" applyAlignment="1">
      <alignment horizontal="left" vertical="center" wrapText="1"/>
    </xf>
    <xf numFmtId="0" fontId="40" fillId="9" borderId="22" xfId="0" applyFont="1" applyFill="1" applyBorder="1" applyAlignment="1">
      <alignment horizontal="left" vertical="center" wrapText="1"/>
    </xf>
    <xf numFmtId="0" fontId="37" fillId="0" borderId="12" xfId="0" applyFont="1" applyFill="1" applyBorder="1" applyAlignment="1">
      <alignment vertical="top" wrapText="1"/>
    </xf>
    <xf numFmtId="0" fontId="0" fillId="0" borderId="28" xfId="0" applyBorder="1" applyAlignment="1">
      <alignment vertical="top"/>
    </xf>
    <xf numFmtId="0" fontId="0" fillId="0" borderId="12" xfId="0" applyFill="1" applyBorder="1"/>
    <xf numFmtId="0" fontId="0" fillId="0" borderId="20" xfId="0" applyFill="1" applyBorder="1"/>
    <xf numFmtId="0" fontId="29" fillId="15" borderId="10" xfId="0" applyFont="1" applyFill="1" applyBorder="1"/>
    <xf numFmtId="0" fontId="0" fillId="0" borderId="27" xfId="0" applyBorder="1"/>
    <xf numFmtId="0" fontId="0" fillId="10" borderId="19" xfId="0" applyFill="1" applyBorder="1"/>
    <xf numFmtId="0" fontId="0" fillId="10" borderId="9" xfId="0" applyFill="1" applyBorder="1"/>
    <xf numFmtId="0" fontId="28" fillId="15" borderId="21" xfId="0" applyFont="1" applyFill="1" applyBorder="1" applyAlignment="1">
      <alignment horizontal="center" vertical="center" wrapText="1"/>
    </xf>
    <xf numFmtId="0" fontId="28" fillId="15" borderId="8" xfId="0" applyFont="1" applyFill="1" applyBorder="1" applyAlignment="1">
      <alignment horizontal="center" vertical="center" wrapText="1"/>
    </xf>
    <xf numFmtId="0" fontId="45" fillId="0" borderId="25" xfId="0" applyFont="1" applyBorder="1"/>
    <xf numFmtId="0" fontId="29" fillId="0" borderId="0" xfId="54" applyFont="1" applyFill="1"/>
    <xf numFmtId="0" fontId="30" fillId="0" borderId="0" xfId="53" applyFill="1"/>
    <xf numFmtId="0" fontId="29" fillId="0" borderId="0" xfId="53" applyFont="1" applyFill="1"/>
    <xf numFmtId="0" fontId="16" fillId="0" borderId="0" xfId="53" applyFont="1" applyFill="1"/>
    <xf numFmtId="9" fontId="0" fillId="0" borderId="0" xfId="51" applyFont="1" applyBorder="1"/>
    <xf numFmtId="1" fontId="0" fillId="0" borderId="26" xfId="0" applyNumberFormat="1" applyBorder="1"/>
    <xf numFmtId="9" fontId="0" fillId="0" borderId="26" xfId="51" applyFont="1" applyBorder="1"/>
    <xf numFmtId="0" fontId="29" fillId="15" borderId="10" xfId="53" applyFont="1" applyFill="1" applyBorder="1"/>
    <xf numFmtId="0" fontId="29" fillId="15" borderId="21" xfId="53" applyFont="1" applyFill="1" applyBorder="1"/>
    <xf numFmtId="0" fontId="29" fillId="15" borderId="8" xfId="53" applyFont="1" applyFill="1" applyBorder="1" applyAlignment="1">
      <alignment horizontal="right"/>
    </xf>
    <xf numFmtId="0" fontId="29" fillId="15" borderId="8" xfId="53" applyFont="1" applyFill="1" applyBorder="1"/>
    <xf numFmtId="9" fontId="16" fillId="0" borderId="0" xfId="51" applyFont="1" applyFill="1" applyBorder="1"/>
    <xf numFmtId="0" fontId="30" fillId="0" borderId="0" xfId="54" applyFill="1" applyBorder="1"/>
    <xf numFmtId="0" fontId="16" fillId="0" borderId="0" xfId="54" applyFont="1" applyFill="1" applyBorder="1"/>
    <xf numFmtId="0" fontId="45" fillId="0" borderId="25" xfId="54" applyFont="1" applyFill="1" applyBorder="1"/>
    <xf numFmtId="0" fontId="29" fillId="0" borderId="0" xfId="53" applyFont="1" applyFill="1" applyBorder="1"/>
    <xf numFmtId="0" fontId="45" fillId="0" borderId="0" xfId="53" applyFont="1" applyFill="1" applyBorder="1"/>
    <xf numFmtId="0" fontId="16" fillId="0" borderId="12" xfId="54" applyFont="1" applyFill="1" applyBorder="1"/>
    <xf numFmtId="9" fontId="16" fillId="0" borderId="20" xfId="51" applyFont="1" applyFill="1" applyBorder="1"/>
    <xf numFmtId="176" fontId="16" fillId="0" borderId="20" xfId="51" applyNumberFormat="1" applyFont="1" applyFill="1" applyBorder="1"/>
    <xf numFmtId="0" fontId="30" fillId="0" borderId="12" xfId="54" applyFill="1" applyBorder="1"/>
    <xf numFmtId="0" fontId="16" fillId="0" borderId="12" xfId="150" applyFont="1" applyFill="1" applyBorder="1"/>
    <xf numFmtId="0" fontId="45" fillId="0" borderId="28" xfId="0" applyFont="1" applyBorder="1" applyAlignment="1">
      <alignment horizontal="right"/>
    </xf>
    <xf numFmtId="9" fontId="0" fillId="0" borderId="20" xfId="51" applyFont="1" applyBorder="1"/>
    <xf numFmtId="9" fontId="0" fillId="0" borderId="30" xfId="51" applyFont="1" applyBorder="1"/>
    <xf numFmtId="0" fontId="30" fillId="0" borderId="20" xfId="54" applyFill="1" applyBorder="1"/>
    <xf numFmtId="0" fontId="45" fillId="0" borderId="28" xfId="54" applyFont="1" applyFill="1" applyBorder="1" applyAlignment="1">
      <alignment horizontal="right"/>
    </xf>
    <xf numFmtId="0" fontId="45" fillId="0" borderId="27" xfId="54" applyFont="1" applyFill="1" applyBorder="1"/>
    <xf numFmtId="0" fontId="4" fillId="0" borderId="12" xfId="150" applyFill="1" applyBorder="1"/>
    <xf numFmtId="0" fontId="4" fillId="0" borderId="0" xfId="150" applyFill="1" applyBorder="1"/>
    <xf numFmtId="176" fontId="0" fillId="0" borderId="0" xfId="51" applyNumberFormat="1" applyFont="1" applyFill="1" applyBorder="1"/>
    <xf numFmtId="2" fontId="30" fillId="0" borderId="0" xfId="51" applyNumberFormat="1" applyFont="1" applyFill="1" applyBorder="1"/>
    <xf numFmtId="0" fontId="29" fillId="0" borderId="0" xfId="54" applyFont="1" applyFill="1" applyBorder="1"/>
    <xf numFmtId="0" fontId="29" fillId="0" borderId="20" xfId="54" applyFont="1" applyFill="1" applyBorder="1"/>
    <xf numFmtId="0" fontId="16" fillId="0" borderId="23" xfId="54" applyFont="1" applyFill="1" applyBorder="1"/>
    <xf numFmtId="9" fontId="16" fillId="0" borderId="18" xfId="51" applyFont="1" applyFill="1" applyBorder="1"/>
    <xf numFmtId="0" fontId="16" fillId="0" borderId="18" xfId="54" applyFont="1" applyFill="1" applyBorder="1"/>
    <xf numFmtId="0" fontId="30" fillId="0" borderId="18" xfId="54" applyFill="1" applyBorder="1"/>
    <xf numFmtId="176" fontId="16" fillId="0" borderId="22" xfId="51" applyNumberFormat="1" applyFont="1" applyFill="1" applyBorder="1"/>
    <xf numFmtId="0" fontId="12" fillId="0" borderId="12" xfId="4" applyFont="1" applyFill="1" applyBorder="1" applyAlignment="1">
      <alignment wrapText="1"/>
    </xf>
    <xf numFmtId="0" fontId="16" fillId="0" borderId="20" xfId="54" applyFont="1" applyFill="1" applyBorder="1" applyAlignment="1">
      <alignment horizontal="right"/>
    </xf>
    <xf numFmtId="176" fontId="0" fillId="0" borderId="20" xfId="51" applyNumberFormat="1" applyFont="1" applyFill="1" applyBorder="1"/>
    <xf numFmtId="0" fontId="0" fillId="0" borderId="24" xfId="0" quotePrefix="1" applyBorder="1"/>
    <xf numFmtId="2" fontId="16" fillId="0" borderId="0" xfId="51" applyNumberFormat="1" applyFont="1" applyFill="1" applyBorder="1"/>
    <xf numFmtId="0" fontId="0" fillId="0" borderId="12" xfId="150" applyFont="1" applyFill="1" applyBorder="1"/>
    <xf numFmtId="0" fontId="4" fillId="0" borderId="27" xfId="150" applyFill="1" applyBorder="1"/>
    <xf numFmtId="0" fontId="45" fillId="0" borderId="25" xfId="0" applyFont="1" applyFill="1" applyBorder="1"/>
    <xf numFmtId="0" fontId="0" fillId="0" borderId="28" xfId="0" applyFill="1" applyBorder="1"/>
    <xf numFmtId="0" fontId="0" fillId="0" borderId="29" xfId="0" applyFill="1" applyBorder="1"/>
    <xf numFmtId="1" fontId="0" fillId="0" borderId="26" xfId="0" applyNumberFormat="1" applyFill="1" applyBorder="1"/>
    <xf numFmtId="0" fontId="0" fillId="0" borderId="30" xfId="0" applyFill="1" applyBorder="1"/>
    <xf numFmtId="176" fontId="0" fillId="0" borderId="26" xfId="51" applyNumberFormat="1" applyFont="1" applyFill="1" applyBorder="1"/>
    <xf numFmtId="176" fontId="0" fillId="0" borderId="30" xfId="51" applyNumberFormat="1" applyFont="1" applyFill="1" applyBorder="1"/>
    <xf numFmtId="0" fontId="29" fillId="15" borderId="0" xfId="53" applyFont="1" applyFill="1" applyBorder="1"/>
    <xf numFmtId="0" fontId="51" fillId="17" borderId="0" xfId="152" applyFont="1" applyBorder="1"/>
    <xf numFmtId="177" fontId="16" fillId="0" borderId="0" xfId="52" applyNumberFormat="1" applyFont="1" applyFill="1" applyBorder="1" applyAlignment="1">
      <alignment vertical="center"/>
    </xf>
    <xf numFmtId="9" fontId="51" fillId="17" borderId="0" xfId="152" applyNumberFormat="1" applyFont="1" applyBorder="1"/>
    <xf numFmtId="9" fontId="51" fillId="17" borderId="0" xfId="51" applyFont="1" applyFill="1" applyBorder="1"/>
    <xf numFmtId="0" fontId="0" fillId="0" borderId="0" xfId="0" quotePrefix="1"/>
    <xf numFmtId="0" fontId="16" fillId="15" borderId="0" xfId="53" applyFont="1" applyFill="1" applyBorder="1"/>
    <xf numFmtId="0" fontId="6" fillId="0" borderId="38" xfId="153" applyFont="1" applyFill="1" applyBorder="1"/>
    <xf numFmtId="0" fontId="6" fillId="15" borderId="0" xfId="153" applyFont="1" applyFill="1" applyBorder="1"/>
    <xf numFmtId="0" fontId="55" fillId="0" borderId="0" xfId="53" applyFont="1" applyFill="1" applyBorder="1"/>
    <xf numFmtId="9" fontId="0" fillId="0" borderId="0" xfId="51" applyFont="1" applyFill="1" applyBorder="1"/>
    <xf numFmtId="177" fontId="0" fillId="0" borderId="0" xfId="52" applyNumberFormat="1" applyFont="1" applyFill="1" applyBorder="1"/>
    <xf numFmtId="177" fontId="54" fillId="15" borderId="39" xfId="153" applyNumberFormat="1" applyFont="1" applyFill="1" applyBorder="1" applyAlignment="1">
      <alignment vertical="center"/>
    </xf>
    <xf numFmtId="0" fontId="6" fillId="15" borderId="40" xfId="153" applyFont="1" applyFill="1" applyBorder="1"/>
    <xf numFmtId="177" fontId="6" fillId="0" borderId="41" xfId="153" applyNumberFormat="1" applyFont="1" applyFill="1" applyBorder="1" applyAlignment="1">
      <alignment vertical="center"/>
    </xf>
    <xf numFmtId="0" fontId="0" fillId="0" borderId="39" xfId="0" applyFill="1" applyBorder="1"/>
    <xf numFmtId="0" fontId="32" fillId="0" borderId="39" xfId="0" applyFont="1" applyFill="1" applyBorder="1" applyAlignment="1">
      <alignment horizontal="right"/>
    </xf>
    <xf numFmtId="0" fontId="0" fillId="0" borderId="40" xfId="0" applyFont="1" applyFill="1" applyBorder="1"/>
    <xf numFmtId="0" fontId="0" fillId="0" borderId="43" xfId="0" applyFill="1" applyBorder="1"/>
    <xf numFmtId="177" fontId="0" fillId="0" borderId="26" xfId="52" applyNumberFormat="1" applyFont="1" applyFill="1" applyBorder="1"/>
    <xf numFmtId="177" fontId="0" fillId="0" borderId="46" xfId="52" applyNumberFormat="1" applyFont="1" applyFill="1" applyBorder="1"/>
    <xf numFmtId="0" fontId="0" fillId="0" borderId="47" xfId="0" applyFill="1" applyBorder="1"/>
    <xf numFmtId="9" fontId="0" fillId="0" borderId="47" xfId="51" applyFont="1" applyFill="1" applyBorder="1"/>
    <xf numFmtId="165" fontId="51" fillId="17" borderId="0" xfId="52" applyFont="1" applyFill="1" applyBorder="1"/>
    <xf numFmtId="179" fontId="51" fillId="17" borderId="0" xfId="152" applyNumberFormat="1" applyFont="1" applyBorder="1"/>
    <xf numFmtId="175" fontId="30" fillId="19" borderId="7" xfId="154" applyNumberFormat="1" applyBorder="1" applyAlignment="1">
      <alignment horizontal="center"/>
    </xf>
    <xf numFmtId="0" fontId="0" fillId="0" borderId="49" xfId="0" applyFill="1" applyBorder="1"/>
    <xf numFmtId="177" fontId="0" fillId="0" borderId="50" xfId="52" applyNumberFormat="1" applyFont="1" applyFill="1" applyBorder="1"/>
    <xf numFmtId="0" fontId="0" fillId="0" borderId="50" xfId="0" applyFill="1" applyBorder="1"/>
    <xf numFmtId="0" fontId="0" fillId="0" borderId="0" xfId="0" applyFill="1" applyBorder="1" applyAlignment="1">
      <alignment horizontal="center" vertical="top"/>
    </xf>
    <xf numFmtId="0" fontId="0" fillId="0" borderId="0" xfId="0" applyAlignment="1">
      <alignment horizontal="center" vertical="top"/>
    </xf>
    <xf numFmtId="9" fontId="6" fillId="11" borderId="0" xfId="51" applyFont="1" applyFill="1"/>
    <xf numFmtId="171" fontId="0" fillId="0" borderId="0" xfId="155" applyFont="1"/>
    <xf numFmtId="171" fontId="35" fillId="9" borderId="10" xfId="155" applyFont="1" applyFill="1" applyBorder="1" applyAlignment="1">
      <alignment horizontal="left" vertical="center" wrapText="1"/>
    </xf>
    <xf numFmtId="171" fontId="40" fillId="9" borderId="21" xfId="155" applyFont="1" applyFill="1" applyBorder="1" applyAlignment="1">
      <alignment horizontal="left" vertical="center" wrapText="1"/>
    </xf>
    <xf numFmtId="171" fontId="40" fillId="9" borderId="8" xfId="155" applyFont="1" applyFill="1" applyBorder="1" applyAlignment="1">
      <alignment horizontal="left" vertical="center" wrapText="1"/>
    </xf>
    <xf numFmtId="171" fontId="16" fillId="0" borderId="0" xfId="155" applyFont="1"/>
    <xf numFmtId="171" fontId="39" fillId="0" borderId="12" xfId="155" applyFont="1" applyFill="1" applyBorder="1" applyAlignment="1">
      <alignment horizontal="left" vertical="center" wrapText="1"/>
    </xf>
    <xf numFmtId="171" fontId="39" fillId="0" borderId="0" xfId="155" applyFont="1" applyFill="1" applyBorder="1" applyAlignment="1">
      <alignment horizontal="left" vertical="center" wrapText="1"/>
    </xf>
    <xf numFmtId="171" fontId="39" fillId="0" borderId="20" xfId="155" applyFont="1" applyFill="1" applyBorder="1" applyAlignment="1">
      <alignment horizontal="left" vertical="center" wrapText="1"/>
    </xf>
    <xf numFmtId="171" fontId="0" fillId="0" borderId="0" xfId="155" applyFont="1" applyFill="1"/>
    <xf numFmtId="171" fontId="42" fillId="0" borderId="12" xfId="155" applyFont="1" applyFill="1" applyBorder="1" applyAlignment="1">
      <alignment horizontal="left" vertical="center" wrapText="1"/>
    </xf>
    <xf numFmtId="171" fontId="42" fillId="0" borderId="0" xfId="155" applyFont="1" applyFill="1" applyBorder="1" applyAlignment="1">
      <alignment horizontal="left" vertical="center" wrapText="1"/>
    </xf>
    <xf numFmtId="171" fontId="42" fillId="0" borderId="20" xfId="155" applyFont="1" applyFill="1" applyBorder="1" applyAlignment="1">
      <alignment horizontal="left" vertical="center" wrapText="1"/>
    </xf>
    <xf numFmtId="171" fontId="16" fillId="0" borderId="52" xfId="155" applyFont="1" applyBorder="1"/>
    <xf numFmtId="171" fontId="16" fillId="0" borderId="53" xfId="155" applyFont="1" applyBorder="1"/>
    <xf numFmtId="171" fontId="16" fillId="0" borderId="54" xfId="155" applyFont="1" applyBorder="1"/>
    <xf numFmtId="171" fontId="57" fillId="0" borderId="54" xfId="155" applyFont="1" applyBorder="1"/>
    <xf numFmtId="171" fontId="0" fillId="0" borderId="52" xfId="155" applyFont="1" applyBorder="1"/>
    <xf numFmtId="171" fontId="0" fillId="0" borderId="54" xfId="155" applyFont="1" applyBorder="1"/>
    <xf numFmtId="0" fontId="0" fillId="0" borderId="25" xfId="0" applyBorder="1" applyAlignment="1">
      <alignment wrapText="1"/>
    </xf>
    <xf numFmtId="0" fontId="36" fillId="0" borderId="27" xfId="151" quotePrefix="1" applyBorder="1" applyAlignment="1" applyProtection="1">
      <alignment vertical="top"/>
    </xf>
    <xf numFmtId="0" fontId="35" fillId="9" borderId="23" xfId="0" applyFont="1" applyFill="1" applyBorder="1" applyAlignment="1">
      <alignment horizontal="left" vertical="center" wrapText="1"/>
    </xf>
    <xf numFmtId="0" fontId="36" fillId="0" borderId="25" xfId="151" quotePrefix="1" applyBorder="1" applyAlignment="1" applyProtection="1">
      <alignment vertical="top"/>
    </xf>
    <xf numFmtId="171" fontId="57" fillId="0" borderId="54" xfId="0" applyNumberFormat="1" applyFont="1" applyBorder="1"/>
    <xf numFmtId="171" fontId="0" fillId="0" borderId="52" xfId="0" applyNumberFormat="1" applyBorder="1"/>
    <xf numFmtId="171" fontId="0" fillId="0" borderId="54" xfId="0" applyNumberFormat="1" applyBorder="1"/>
    <xf numFmtId="171" fontId="0" fillId="0" borderId="0" xfId="0" applyNumberFormat="1"/>
    <xf numFmtId="0" fontId="36" fillId="0" borderId="12" xfId="151" applyBorder="1" applyAlignment="1" applyProtection="1">
      <alignment vertical="top"/>
    </xf>
    <xf numFmtId="0" fontId="0" fillId="0" borderId="0" xfId="0" applyBorder="1" applyAlignment="1">
      <alignment vertical="top" wrapText="1"/>
    </xf>
    <xf numFmtId="0" fontId="0" fillId="0" borderId="20" xfId="0" applyBorder="1" applyAlignment="1">
      <alignment vertical="top"/>
    </xf>
    <xf numFmtId="0" fontId="58" fillId="0" borderId="0" xfId="151" applyFont="1" applyBorder="1" applyAlignment="1" applyProtection="1">
      <alignment vertical="top"/>
    </xf>
    <xf numFmtId="171" fontId="16" fillId="0" borderId="0" xfId="0" applyNumberFormat="1" applyFont="1"/>
    <xf numFmtId="167" fontId="8" fillId="0" borderId="0" xfId="157" quotePrefix="1" applyNumberFormat="1" applyFont="1" applyFill="1" applyBorder="1" applyAlignment="1">
      <alignment horizontal="center"/>
    </xf>
    <xf numFmtId="167" fontId="8" fillId="0" borderId="0" xfId="157" applyNumberFormat="1" applyFont="1" applyFill="1" applyBorder="1" applyAlignment="1">
      <alignment horizontal="center"/>
    </xf>
    <xf numFmtId="167" fontId="9" fillId="0" borderId="0" xfId="157" applyNumberFormat="1" applyFont="1" applyFill="1" applyBorder="1" applyAlignment="1">
      <alignment horizontal="center"/>
    </xf>
    <xf numFmtId="167" fontId="10" fillId="0" borderId="0" xfId="157" applyNumberFormat="1" applyFont="1" applyFill="1" applyBorder="1"/>
    <xf numFmtId="171" fontId="0" fillId="0" borderId="25" xfId="0" applyNumberFormat="1" applyBorder="1"/>
    <xf numFmtId="171" fontId="0" fillId="0" borderId="28" xfId="0" applyNumberFormat="1" applyBorder="1"/>
    <xf numFmtId="171" fontId="0" fillId="0" borderId="0" xfId="0" applyNumberFormat="1" applyBorder="1"/>
    <xf numFmtId="171" fontId="6" fillId="20" borderId="0" xfId="155" applyFont="1" applyFill="1"/>
    <xf numFmtId="171" fontId="6" fillId="21" borderId="0" xfId="155" applyFont="1" applyFill="1"/>
    <xf numFmtId="171" fontId="6" fillId="22" borderId="0" xfId="155" applyFont="1" applyFill="1"/>
    <xf numFmtId="0" fontId="16" fillId="20" borderId="0" xfId="155" quotePrefix="1" applyNumberFormat="1" applyFont="1" applyFill="1"/>
    <xf numFmtId="0" fontId="0" fillId="20" borderId="0" xfId="155" quotePrefix="1" applyNumberFormat="1" applyFont="1" applyFill="1"/>
    <xf numFmtId="0" fontId="16" fillId="20" borderId="0" xfId="155" applyNumberFormat="1" applyFont="1" applyFill="1"/>
    <xf numFmtId="0" fontId="0" fillId="20" borderId="0" xfId="155" applyNumberFormat="1" applyFont="1" applyFill="1"/>
    <xf numFmtId="0" fontId="0" fillId="21" borderId="0" xfId="155" applyNumberFormat="1" applyFont="1" applyFill="1"/>
    <xf numFmtId="0" fontId="0" fillId="22" borderId="0" xfId="155" applyNumberFormat="1" applyFont="1" applyFill="1"/>
    <xf numFmtId="0" fontId="36" fillId="22" borderId="0" xfId="156" applyNumberFormat="1" applyFill="1" applyAlignment="1" applyProtection="1"/>
    <xf numFmtId="0" fontId="36" fillId="21" borderId="0" xfId="156" applyNumberFormat="1" applyFill="1" applyAlignment="1" applyProtection="1"/>
    <xf numFmtId="0" fontId="5" fillId="21" borderId="0" xfId="155" applyNumberFormat="1" applyFont="1" applyFill="1"/>
    <xf numFmtId="0" fontId="5" fillId="22" borderId="0" xfId="155" applyNumberFormat="1" applyFont="1" applyFill="1"/>
    <xf numFmtId="0" fontId="59" fillId="22" borderId="0" xfId="156" applyNumberFormat="1" applyFont="1" applyFill="1" applyAlignment="1" applyProtection="1"/>
    <xf numFmtId="0" fontId="0" fillId="21" borderId="0" xfId="0" applyNumberFormat="1" applyFill="1"/>
    <xf numFmtId="0" fontId="0" fillId="22" borderId="0" xfId="0" applyNumberFormat="1" applyFill="1"/>
    <xf numFmtId="0" fontId="0" fillId="0" borderId="53" xfId="0" applyBorder="1"/>
    <xf numFmtId="0" fontId="0" fillId="0" borderId="18" xfId="0" applyBorder="1"/>
    <xf numFmtId="0" fontId="0" fillId="0" borderId="23" xfId="0" applyBorder="1"/>
    <xf numFmtId="0" fontId="0" fillId="0" borderId="22" xfId="0" applyBorder="1"/>
    <xf numFmtId="0" fontId="0" fillId="0" borderId="52" xfId="0" applyBorder="1"/>
    <xf numFmtId="0" fontId="0" fillId="0" borderId="54" xfId="0" applyBorder="1"/>
    <xf numFmtId="0" fontId="60" fillId="23" borderId="0" xfId="53" applyFont="1" applyFill="1" applyBorder="1"/>
    <xf numFmtId="0" fontId="0" fillId="20" borderId="0" xfId="0" applyNumberFormat="1" applyFill="1"/>
    <xf numFmtId="0" fontId="0" fillId="20" borderId="0" xfId="0" quotePrefix="1" applyNumberFormat="1" applyFill="1"/>
    <xf numFmtId="0" fontId="0" fillId="20" borderId="0" xfId="0" applyNumberFormat="1" applyFill="1" applyAlignment="1"/>
    <xf numFmtId="0" fontId="0" fillId="0" borderId="0" xfId="0" applyFont="1" applyFill="1" applyBorder="1" applyAlignment="1">
      <alignment horizontal="center" vertical="center" wrapText="1"/>
    </xf>
    <xf numFmtId="0" fontId="16" fillId="0" borderId="34" xfId="53" applyFont="1" applyFill="1" applyBorder="1"/>
    <xf numFmtId="0" fontId="0" fillId="0" borderId="45" xfId="0" applyFill="1" applyBorder="1"/>
    <xf numFmtId="9" fontId="0" fillId="0" borderId="45" xfId="51" applyFont="1" applyFill="1" applyBorder="1"/>
    <xf numFmtId="0" fontId="0" fillId="0" borderId="46" xfId="0" applyFill="1" applyBorder="1"/>
    <xf numFmtId="0" fontId="0" fillId="0" borderId="46" xfId="0" applyFill="1" applyBorder="1" applyAlignment="1">
      <alignment horizontal="center" vertical="top"/>
    </xf>
    <xf numFmtId="0" fontId="0" fillId="0" borderId="46" xfId="0"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6" xfId="0" applyFill="1" applyBorder="1" applyAlignment="1">
      <alignment horizontal="center" vertical="center" wrapText="1"/>
    </xf>
    <xf numFmtId="0" fontId="0" fillId="0" borderId="48" xfId="0" applyFill="1" applyBorder="1"/>
    <xf numFmtId="0" fontId="16" fillId="21" borderId="0" xfId="155" applyNumberFormat="1" applyFont="1" applyFill="1"/>
    <xf numFmtId="0" fontId="16" fillId="22" borderId="0" xfId="155" applyNumberFormat="1" applyFont="1" applyFill="1"/>
    <xf numFmtId="0" fontId="62" fillId="22" borderId="0" xfId="156" applyNumberFormat="1" applyFont="1" applyFill="1" applyAlignment="1" applyProtection="1"/>
    <xf numFmtId="9" fontId="6" fillId="0" borderId="0" xfId="51" applyFont="1" applyFill="1" applyBorder="1"/>
    <xf numFmtId="0" fontId="29" fillId="0" borderId="12" xfId="0" applyFont="1" applyBorder="1"/>
    <xf numFmtId="0" fontId="16" fillId="0" borderId="12" xfId="0" applyFont="1" applyBorder="1"/>
    <xf numFmtId="0" fontId="5" fillId="0" borderId="0" xfId="0" applyFont="1"/>
    <xf numFmtId="0" fontId="63" fillId="0" borderId="12" xfId="0" applyFont="1" applyBorder="1"/>
    <xf numFmtId="0" fontId="29" fillId="0" borderId="0" xfId="0" applyFont="1" applyBorder="1"/>
    <xf numFmtId="0" fontId="16" fillId="0" borderId="23" xfId="0" applyFont="1" applyBorder="1"/>
    <xf numFmtId="0" fontId="16" fillId="0" borderId="18" xfId="0" applyFont="1" applyBorder="1"/>
    <xf numFmtId="2" fontId="16" fillId="0" borderId="0" xfId="0" applyNumberFormat="1" applyFont="1"/>
    <xf numFmtId="0" fontId="29" fillId="0" borderId="20" xfId="0" applyFont="1" applyBorder="1"/>
    <xf numFmtId="0" fontId="29" fillId="0" borderId="0" xfId="0" applyFont="1"/>
    <xf numFmtId="0" fontId="16" fillId="0" borderId="39" xfId="0" applyFont="1" applyFill="1" applyBorder="1"/>
    <xf numFmtId="0" fontId="16" fillId="0" borderId="0" xfId="0" applyFont="1" applyFill="1" applyBorder="1"/>
    <xf numFmtId="0" fontId="16" fillId="0" borderId="40" xfId="0" applyFont="1" applyFill="1" applyBorder="1"/>
    <xf numFmtId="0" fontId="6" fillId="20" borderId="0" xfId="155" applyNumberFormat="1" applyFont="1" applyFill="1"/>
    <xf numFmtId="0" fontId="0" fillId="0" borderId="0" xfId="155" applyNumberFormat="1" applyFont="1"/>
    <xf numFmtId="0" fontId="16" fillId="22" borderId="0" xfId="0" applyNumberFormat="1" applyFont="1" applyFill="1"/>
    <xf numFmtId="0" fontId="36" fillId="21" borderId="0" xfId="151" applyNumberFormat="1" applyFill="1" applyAlignment="1" applyProtection="1"/>
    <xf numFmtId="0" fontId="0" fillId="0" borderId="28" xfId="0" applyBorder="1" applyAlignment="1">
      <alignment vertical="top" wrapText="1"/>
    </xf>
    <xf numFmtId="2" fontId="28" fillId="9" borderId="7" xfId="0" applyNumberFormat="1" applyFont="1" applyFill="1" applyBorder="1" applyAlignment="1">
      <alignment horizontal="center" vertical="center" wrapText="1"/>
    </xf>
    <xf numFmtId="2" fontId="0" fillId="0" borderId="0" xfId="0" applyNumberFormat="1"/>
    <xf numFmtId="2" fontId="0" fillId="0" borderId="4" xfId="0" applyNumberFormat="1" applyBorder="1"/>
    <xf numFmtId="1" fontId="0" fillId="0" borderId="58" xfId="0" applyNumberFormat="1" applyBorder="1"/>
    <xf numFmtId="1" fontId="0" fillId="0" borderId="3" xfId="0" applyNumberFormat="1" applyBorder="1"/>
    <xf numFmtId="1" fontId="0" fillId="0" borderId="4" xfId="0" applyNumberFormat="1" applyBorder="1"/>
    <xf numFmtId="2" fontId="0" fillId="0" borderId="5" xfId="0" applyNumberFormat="1" applyBorder="1"/>
    <xf numFmtId="1" fontId="0" fillId="0" borderId="61" xfId="0" applyNumberFormat="1" applyBorder="1"/>
    <xf numFmtId="1" fontId="0" fillId="0" borderId="5" xfId="0" applyNumberFormat="1" applyBorder="1"/>
    <xf numFmtId="2" fontId="6" fillId="0" borderId="16" xfId="0" applyNumberFormat="1" applyFont="1" applyBorder="1"/>
    <xf numFmtId="1" fontId="6" fillId="0" borderId="6" xfId="0" applyNumberFormat="1" applyFont="1" applyBorder="1"/>
    <xf numFmtId="1" fontId="6" fillId="0" borderId="17" xfId="0" applyNumberFormat="1" applyFont="1" applyBorder="1"/>
    <xf numFmtId="2" fontId="6" fillId="0" borderId="0" xfId="0" applyNumberFormat="1" applyFont="1"/>
    <xf numFmtId="2" fontId="6" fillId="10" borderId="0" xfId="0" applyNumberFormat="1" applyFont="1" applyFill="1"/>
    <xf numFmtId="168" fontId="0" fillId="10" borderId="0" xfId="0" applyNumberFormat="1" applyFill="1"/>
    <xf numFmtId="1" fontId="0" fillId="0" borderId="62" xfId="0" applyNumberFormat="1" applyBorder="1"/>
    <xf numFmtId="0" fontId="67" fillId="9" borderId="7" xfId="0" applyNumberFormat="1" applyFont="1" applyFill="1" applyBorder="1" applyAlignment="1">
      <alignment horizontal="center" vertical="center" wrapText="1"/>
    </xf>
    <xf numFmtId="2" fontId="0" fillId="0" borderId="63" xfId="0" applyNumberFormat="1" applyBorder="1"/>
    <xf numFmtId="1" fontId="0" fillId="0" borderId="17" xfId="0" applyNumberFormat="1" applyBorder="1"/>
    <xf numFmtId="1" fontId="0" fillId="0" borderId="16" xfId="0" applyNumberFormat="1" applyBorder="1"/>
    <xf numFmtId="1" fontId="0" fillId="0" borderId="6" xfId="0" applyNumberFormat="1" applyBorder="1"/>
    <xf numFmtId="1" fontId="0" fillId="0" borderId="65" xfId="0" applyNumberFormat="1" applyBorder="1"/>
    <xf numFmtId="1" fontId="0" fillId="0" borderId="64" xfId="0" applyNumberFormat="1" applyBorder="1"/>
    <xf numFmtId="1" fontId="0" fillId="0" borderId="63" xfId="0" applyNumberFormat="1" applyBorder="1"/>
    <xf numFmtId="0" fontId="67" fillId="9" borderId="17" xfId="0" applyNumberFormat="1" applyFont="1" applyFill="1" applyBorder="1" applyAlignment="1">
      <alignment horizontal="center" vertical="center" wrapText="1"/>
    </xf>
    <xf numFmtId="2" fontId="66" fillId="23" borderId="0" xfId="0" applyNumberFormat="1" applyFont="1" applyFill="1"/>
    <xf numFmtId="17" fontId="0" fillId="20" borderId="0" xfId="155" quotePrefix="1" applyNumberFormat="1" applyFont="1" applyFill="1"/>
    <xf numFmtId="0" fontId="5" fillId="20" borderId="0" xfId="155" quotePrefix="1" applyNumberFormat="1" applyFont="1" applyFill="1"/>
    <xf numFmtId="177" fontId="16" fillId="0" borderId="0" xfId="0" applyNumberFormat="1" applyFont="1" applyFill="1" applyBorder="1"/>
    <xf numFmtId="3" fontId="16" fillId="0" borderId="0" xfId="0" applyNumberFormat="1" applyFont="1" applyFill="1" applyBorder="1" applyAlignment="1">
      <alignment horizontal="center"/>
    </xf>
    <xf numFmtId="0" fontId="31" fillId="0" borderId="0" xfId="0" applyFont="1" applyFill="1" applyBorder="1" applyAlignment="1">
      <alignment vertical="center" wrapText="1"/>
    </xf>
    <xf numFmtId="0" fontId="16" fillId="0" borderId="0" xfId="0" applyFont="1" applyFill="1" applyBorder="1" applyAlignment="1">
      <alignment horizontal="left"/>
    </xf>
    <xf numFmtId="3" fontId="16" fillId="0" borderId="0" xfId="0" applyNumberFormat="1" applyFont="1" applyFill="1" applyBorder="1" applyAlignment="1">
      <alignment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vertical="center"/>
    </xf>
    <xf numFmtId="3" fontId="16" fillId="0" borderId="0" xfId="0" applyNumberFormat="1" applyFont="1" applyFill="1" applyBorder="1" applyAlignment="1">
      <alignment horizontal="center" vertical="center"/>
    </xf>
    <xf numFmtId="0" fontId="16" fillId="0" borderId="0" xfId="0" applyFont="1" applyFill="1" applyBorder="1" applyAlignment="1">
      <alignment vertical="center"/>
    </xf>
    <xf numFmtId="3" fontId="16" fillId="0" borderId="0" xfId="0" applyNumberFormat="1" applyFont="1" applyFill="1" applyBorder="1" applyAlignment="1" applyProtection="1">
      <alignment horizontal="center" vertical="center"/>
      <protection locked="0"/>
    </xf>
    <xf numFmtId="0" fontId="16" fillId="0" borderId="0" xfId="0" applyFont="1" applyFill="1" applyBorder="1" applyAlignment="1">
      <alignment vertical="center" wrapText="1"/>
    </xf>
    <xf numFmtId="0" fontId="16" fillId="0" borderId="0" xfId="0" applyFont="1" applyFill="1" applyBorder="1" applyAlignment="1">
      <alignment horizontal="justify" vertical="center"/>
    </xf>
    <xf numFmtId="0" fontId="16" fillId="0" borderId="0" xfId="0" applyFont="1" applyFill="1" applyBorder="1" applyAlignment="1">
      <alignment horizontal="justify" vertical="center" wrapText="1"/>
    </xf>
    <xf numFmtId="0" fontId="16" fillId="0" borderId="0" xfId="0" applyFont="1" applyFill="1" applyBorder="1" applyAlignment="1"/>
    <xf numFmtId="0" fontId="16" fillId="0" borderId="0" xfId="0" applyFont="1" applyFill="1" applyBorder="1" applyAlignment="1">
      <alignment vertical="top" wrapText="1"/>
    </xf>
    <xf numFmtId="0" fontId="16" fillId="0" borderId="0" xfId="0" applyFont="1" applyFill="1" applyBorder="1" applyAlignment="1">
      <alignment wrapText="1"/>
    </xf>
    <xf numFmtId="0" fontId="31" fillId="0" borderId="0" xfId="0" applyFont="1" applyFill="1" applyBorder="1" applyAlignment="1" applyProtection="1">
      <protection locked="0"/>
    </xf>
    <xf numFmtId="175" fontId="16" fillId="0" borderId="0" xfId="0" applyNumberFormat="1" applyFont="1" applyFill="1" applyBorder="1" applyAlignment="1" applyProtection="1">
      <alignment horizontal="center" vertical="center"/>
      <protection locked="0"/>
    </xf>
    <xf numFmtId="3" fontId="31" fillId="0" borderId="0" xfId="0" applyNumberFormat="1" applyFont="1" applyFill="1" applyBorder="1" applyAlignment="1">
      <alignment horizontal="center" vertical="center" wrapText="1"/>
    </xf>
    <xf numFmtId="0" fontId="16" fillId="0" borderId="0" xfId="0" applyFont="1" applyFill="1" applyBorder="1" applyAlignment="1">
      <alignment horizontal="center"/>
    </xf>
    <xf numFmtId="3" fontId="16" fillId="0" borderId="0" xfId="0" applyNumberFormat="1" applyFont="1" applyFill="1" applyBorder="1" applyAlignment="1" applyProtection="1">
      <alignment vertical="center"/>
      <protection locked="0"/>
    </xf>
    <xf numFmtId="175" fontId="16" fillId="0" borderId="0" xfId="0" applyNumberFormat="1" applyFont="1" applyFill="1" applyBorder="1" applyAlignment="1" applyProtection="1">
      <alignment vertical="center"/>
      <protection locked="0"/>
    </xf>
    <xf numFmtId="0" fontId="16" fillId="0" borderId="0" xfId="0" applyFont="1" applyFill="1" applyBorder="1" applyAlignment="1" applyProtection="1">
      <alignment horizontal="center" wrapText="1"/>
      <protection locked="0"/>
    </xf>
    <xf numFmtId="0" fontId="16" fillId="0" borderId="0" xfId="0" applyFont="1" applyFill="1" applyBorder="1" applyAlignment="1">
      <alignment horizontal="justify"/>
    </xf>
    <xf numFmtId="0" fontId="16" fillId="0" borderId="0" xfId="0" applyFont="1" applyFill="1" applyBorder="1" applyAlignment="1">
      <alignment horizontal="center" vertical="center"/>
    </xf>
    <xf numFmtId="3" fontId="73" fillId="0" borderId="0" xfId="0" applyNumberFormat="1" applyFont="1" applyFill="1" applyBorder="1" applyAlignment="1">
      <alignment horizontal="center"/>
    </xf>
    <xf numFmtId="3" fontId="16" fillId="0" borderId="0" xfId="0" applyNumberFormat="1" applyFont="1" applyFill="1" applyBorder="1" applyAlignment="1">
      <alignment vertical="top" wrapText="1"/>
    </xf>
    <xf numFmtId="3" fontId="16" fillId="0" borderId="0" xfId="0" applyNumberFormat="1" applyFont="1" applyFill="1" applyBorder="1" applyAlignment="1">
      <alignment horizontal="center" vertical="top" wrapText="1"/>
    </xf>
    <xf numFmtId="0" fontId="74" fillId="0" borderId="0" xfId="0" applyFont="1" applyAlignment="1">
      <alignment wrapText="1"/>
    </xf>
    <xf numFmtId="17" fontId="16" fillId="20" borderId="0" xfId="155" quotePrefix="1" applyNumberFormat="1" applyFont="1" applyFill="1"/>
    <xf numFmtId="0" fontId="36" fillId="0" borderId="20" xfId="151" applyBorder="1" applyAlignment="1" applyProtection="1"/>
    <xf numFmtId="0" fontId="29" fillId="0" borderId="42" xfId="153" applyFont="1" applyFill="1" applyBorder="1"/>
    <xf numFmtId="0" fontId="16" fillId="0" borderId="51" xfId="0" applyFont="1" applyFill="1" applyBorder="1"/>
    <xf numFmtId="0" fontId="16" fillId="0" borderId="44" xfId="0" applyFont="1" applyFill="1" applyBorder="1"/>
    <xf numFmtId="0" fontId="5" fillId="0" borderId="40" xfId="0" applyFont="1" applyFill="1" applyBorder="1"/>
    <xf numFmtId="0" fontId="76" fillId="0" borderId="0" xfId="0" applyFont="1" applyFill="1" applyBorder="1"/>
    <xf numFmtId="0" fontId="76" fillId="0" borderId="40" xfId="0" applyFont="1" applyFill="1" applyBorder="1" applyAlignment="1">
      <alignment vertical="top"/>
    </xf>
    <xf numFmtId="0" fontId="29" fillId="16" borderId="10" xfId="0" applyNumberFormat="1" applyFont="1" applyFill="1" applyBorder="1"/>
    <xf numFmtId="0" fontId="29" fillId="16" borderId="21" xfId="0" applyNumberFormat="1" applyFont="1" applyFill="1" applyBorder="1"/>
    <xf numFmtId="0" fontId="29" fillId="16" borderId="8" xfId="0" applyNumberFormat="1" applyFont="1" applyFill="1" applyBorder="1"/>
    <xf numFmtId="0" fontId="16" fillId="0" borderId="12" xfId="0" applyNumberFormat="1" applyFont="1" applyFill="1" applyBorder="1" applyAlignment="1">
      <alignment horizontal="left" vertical="top"/>
    </xf>
    <xf numFmtId="0" fontId="0" fillId="0" borderId="0" xfId="0" applyNumberFormat="1" applyBorder="1" applyAlignment="1"/>
    <xf numFmtId="0" fontId="0" fillId="0" borderId="20" xfId="0" applyBorder="1" applyAlignment="1"/>
    <xf numFmtId="49" fontId="77" fillId="15" borderId="10" xfId="155" applyNumberFormat="1" applyFont="1" applyFill="1" applyBorder="1"/>
    <xf numFmtId="0" fontId="29" fillId="15" borderId="67" xfId="158" applyNumberFormat="1" applyFont="1" applyFill="1" applyBorder="1"/>
    <xf numFmtId="0" fontId="29" fillId="15" borderId="68" xfId="158" applyNumberFormat="1" applyFont="1" applyFill="1" applyBorder="1"/>
    <xf numFmtId="0" fontId="4" fillId="0" borderId="0" xfId="155" applyNumberFormat="1"/>
    <xf numFmtId="0" fontId="48" fillId="0" borderId="0" xfId="159" applyNumberFormat="1" applyFont="1" applyBorder="1"/>
    <xf numFmtId="0" fontId="49" fillId="0" borderId="0" xfId="160" applyNumberFormat="1" applyFont="1" applyBorder="1"/>
    <xf numFmtId="0" fontId="78" fillId="15" borderId="23" xfId="159" applyNumberFormat="1" applyFont="1" applyFill="1" applyBorder="1"/>
    <xf numFmtId="0" fontId="16" fillId="15" borderId="18" xfId="155" applyNumberFormat="1" applyFont="1" applyFill="1" applyBorder="1"/>
    <xf numFmtId="0" fontId="16" fillId="15" borderId="69" xfId="155" applyNumberFormat="1" applyFont="1" applyFill="1" applyBorder="1"/>
    <xf numFmtId="0" fontId="29" fillId="15" borderId="70" xfId="158" applyNumberFormat="1" applyFont="1" applyFill="1" applyBorder="1"/>
    <xf numFmtId="0" fontId="29" fillId="15" borderId="67" xfId="158" applyNumberFormat="1" applyFont="1" applyFill="1" applyBorder="1" applyAlignment="1">
      <alignment horizontal="left"/>
    </xf>
    <xf numFmtId="0" fontId="16" fillId="0" borderId="26" xfId="161" applyNumberFormat="1" applyFont="1" applyBorder="1"/>
    <xf numFmtId="0" fontId="4" fillId="0" borderId="26" xfId="155" applyNumberFormat="1" applyBorder="1"/>
    <xf numFmtId="0" fontId="44" fillId="0" borderId="0" xfId="155" applyNumberFormat="1" applyFont="1"/>
    <xf numFmtId="0" fontId="16" fillId="15" borderId="22" xfId="155" applyNumberFormat="1" applyFont="1" applyFill="1" applyBorder="1"/>
    <xf numFmtId="0" fontId="29" fillId="15" borderId="71" xfId="158" applyNumberFormat="1" applyFont="1" applyFill="1" applyBorder="1"/>
    <xf numFmtId="0" fontId="29" fillId="15" borderId="72" xfId="158" applyNumberFormat="1" applyFont="1" applyFill="1" applyBorder="1"/>
    <xf numFmtId="0" fontId="29" fillId="15" borderId="73" xfId="158" applyNumberFormat="1" applyFont="1" applyFill="1" applyBorder="1"/>
    <xf numFmtId="0" fontId="16" fillId="0" borderId="0" xfId="161" applyNumberFormat="1" applyFont="1"/>
    <xf numFmtId="0" fontId="29" fillId="15" borderId="74" xfId="161" applyNumberFormat="1" applyFont="1" applyFill="1" applyBorder="1"/>
    <xf numFmtId="0" fontId="29" fillId="15" borderId="75" xfId="161" applyNumberFormat="1" applyFont="1" applyFill="1" applyBorder="1"/>
    <xf numFmtId="0" fontId="29" fillId="15" borderId="76" xfId="161" applyNumberFormat="1" applyFont="1" applyFill="1" applyBorder="1"/>
    <xf numFmtId="0" fontId="29" fillId="15" borderId="71" xfId="161" applyNumberFormat="1" applyFont="1" applyFill="1" applyBorder="1"/>
    <xf numFmtId="0" fontId="29" fillId="15" borderId="72" xfId="161" applyNumberFormat="1" applyFont="1" applyFill="1" applyBorder="1"/>
    <xf numFmtId="0" fontId="29" fillId="15" borderId="73" xfId="161" applyNumberFormat="1" applyFont="1" applyFill="1" applyBorder="1"/>
    <xf numFmtId="0" fontId="16" fillId="0" borderId="0" xfId="161" applyNumberFormat="1" applyFont="1" applyBorder="1"/>
    <xf numFmtId="0" fontId="4" fillId="0" borderId="0" xfId="155" applyNumberFormat="1" applyBorder="1"/>
    <xf numFmtId="0" fontId="78" fillId="15" borderId="12" xfId="159" applyNumberFormat="1" applyFont="1" applyFill="1" applyBorder="1"/>
    <xf numFmtId="0" fontId="16" fillId="15" borderId="0" xfId="155" applyNumberFormat="1" applyFont="1" applyFill="1" applyBorder="1"/>
    <xf numFmtId="0" fontId="29" fillId="15" borderId="0" xfId="155" applyNumberFormat="1" applyFont="1" applyFill="1" applyBorder="1"/>
    <xf numFmtId="0" fontId="16" fillId="15" borderId="20" xfId="155" applyNumberFormat="1" applyFont="1" applyFill="1" applyBorder="1"/>
    <xf numFmtId="0" fontId="29" fillId="15" borderId="72" xfId="158" applyNumberFormat="1" applyFont="1" applyFill="1" applyBorder="1" applyAlignment="1">
      <alignment horizontal="left"/>
    </xf>
    <xf numFmtId="0" fontId="45" fillId="0" borderId="0" xfId="161" applyNumberFormat="1" applyFont="1"/>
    <xf numFmtId="0" fontId="16" fillId="15" borderId="18" xfId="161" applyNumberFormat="1" applyFont="1" applyFill="1" applyBorder="1"/>
    <xf numFmtId="0" fontId="3" fillId="0" borderId="0" xfId="161" applyNumberFormat="1"/>
    <xf numFmtId="0" fontId="16" fillId="15" borderId="77" xfId="155" applyNumberFormat="1" applyFont="1" applyFill="1" applyBorder="1"/>
    <xf numFmtId="0" fontId="29" fillId="15" borderId="78" xfId="155" applyNumberFormat="1" applyFont="1" applyFill="1" applyBorder="1"/>
    <xf numFmtId="0" fontId="29" fillId="15" borderId="79" xfId="155" applyNumberFormat="1" applyFont="1" applyFill="1" applyBorder="1"/>
    <xf numFmtId="177" fontId="6" fillId="0" borderId="0" xfId="52" applyNumberFormat="1" applyFont="1" applyFill="1" applyBorder="1"/>
    <xf numFmtId="0" fontId="0" fillId="0" borderId="63" xfId="0" applyBorder="1"/>
    <xf numFmtId="171" fontId="16" fillId="0" borderId="0" xfId="161" applyFont="1"/>
    <xf numFmtId="0" fontId="6" fillId="26" borderId="7" xfId="0" applyFont="1" applyFill="1" applyBorder="1"/>
    <xf numFmtId="3" fontId="6" fillId="26" borderId="7" xfId="0" applyNumberFormat="1" applyFont="1" applyFill="1" applyBorder="1" applyAlignment="1">
      <alignment horizontal="center"/>
    </xf>
    <xf numFmtId="0" fontId="6" fillId="0" borderId="0" xfId="0" applyFont="1" applyFill="1" applyBorder="1"/>
    <xf numFmtId="3" fontId="6" fillId="0" borderId="0" xfId="0" applyNumberFormat="1" applyFont="1" applyFill="1" applyBorder="1" applyAlignment="1">
      <alignment horizontal="center"/>
    </xf>
    <xf numFmtId="175" fontId="16" fillId="10" borderId="7" xfId="0" applyNumberFormat="1" applyFont="1" applyFill="1" applyBorder="1" applyAlignment="1">
      <alignment horizontal="center"/>
    </xf>
    <xf numFmtId="3" fontId="0" fillId="26" borderId="7" xfId="0" applyNumberFormat="1" applyFill="1" applyBorder="1" applyAlignment="1">
      <alignment horizontal="center"/>
    </xf>
    <xf numFmtId="171" fontId="3" fillId="0" borderId="0" xfId="161"/>
    <xf numFmtId="0" fontId="28" fillId="27" borderId="7" xfId="0" applyNumberFormat="1" applyFont="1" applyFill="1" applyBorder="1" applyAlignment="1">
      <alignment horizontal="center" vertical="center" wrapText="1"/>
    </xf>
    <xf numFmtId="171" fontId="33" fillId="0" borderId="0" xfId="0" applyNumberFormat="1" applyFont="1" applyFill="1" applyBorder="1"/>
    <xf numFmtId="171" fontId="79" fillId="0" borderId="64" xfId="0" applyNumberFormat="1" applyFont="1" applyFill="1" applyBorder="1"/>
    <xf numFmtId="171" fontId="79" fillId="0" borderId="0" xfId="0" applyNumberFormat="1" applyFont="1" applyFill="1" applyBorder="1"/>
    <xf numFmtId="171" fontId="33" fillId="0" borderId="63" xfId="0" applyNumberFormat="1" applyFont="1" applyFill="1" applyBorder="1"/>
    <xf numFmtId="171" fontId="33" fillId="0" borderId="59" xfId="0" applyNumberFormat="1" applyFont="1" applyFill="1" applyBorder="1"/>
    <xf numFmtId="171" fontId="79" fillId="0" borderId="16" xfId="0" applyNumberFormat="1" applyFont="1" applyFill="1" applyBorder="1"/>
    <xf numFmtId="3" fontId="33" fillId="28" borderId="6" xfId="0" quotePrefix="1" applyNumberFormat="1" applyFont="1" applyFill="1" applyBorder="1" applyAlignment="1">
      <alignment horizontal="center"/>
    </xf>
    <xf numFmtId="3" fontId="33" fillId="28" borderId="17" xfId="0" quotePrefix="1" applyNumberFormat="1" applyFont="1" applyFill="1" applyBorder="1" applyAlignment="1">
      <alignment horizontal="center"/>
    </xf>
    <xf numFmtId="171" fontId="22" fillId="0" borderId="0" xfId="0" applyNumberFormat="1" applyFont="1" applyFill="1" applyBorder="1"/>
    <xf numFmtId="171" fontId="22" fillId="0" borderId="0" xfId="162" applyNumberFormat="1" applyFont="1" applyFill="1" applyBorder="1"/>
    <xf numFmtId="171" fontId="80" fillId="0" borderId="0" xfId="0" applyNumberFormat="1" applyFont="1" applyFill="1" applyBorder="1"/>
    <xf numFmtId="171" fontId="79" fillId="29" borderId="7" xfId="0" applyNumberFormat="1" applyFont="1" applyFill="1" applyBorder="1"/>
    <xf numFmtId="3" fontId="79" fillId="29" borderId="7" xfId="0" applyNumberFormat="1" applyFont="1" applyFill="1" applyBorder="1" applyAlignment="1">
      <alignment horizontal="center"/>
    </xf>
    <xf numFmtId="3" fontId="79" fillId="0" borderId="0" xfId="0" applyNumberFormat="1" applyFont="1" applyFill="1" applyBorder="1" applyAlignment="1">
      <alignment horizontal="center"/>
    </xf>
    <xf numFmtId="171" fontId="79" fillId="30" borderId="7" xfId="0" applyNumberFormat="1" applyFont="1" applyFill="1" applyBorder="1"/>
    <xf numFmtId="3" fontId="33" fillId="29" borderId="7" xfId="0" applyNumberFormat="1" applyFont="1" applyFill="1" applyBorder="1" applyAlignment="1">
      <alignment horizontal="center"/>
    </xf>
    <xf numFmtId="3" fontId="81" fillId="0" borderId="0" xfId="0" applyNumberFormat="1" applyFont="1" applyFill="1" applyBorder="1" applyAlignment="1">
      <alignment horizontal="center"/>
    </xf>
    <xf numFmtId="0" fontId="28" fillId="9" borderId="7" xfId="0" applyFont="1" applyFill="1" applyBorder="1" applyAlignment="1">
      <alignment horizontal="center" vertical="center" wrapText="1"/>
    </xf>
    <xf numFmtId="0" fontId="0" fillId="0" borderId="60" xfId="0" applyBorder="1"/>
    <xf numFmtId="10" fontId="0" fillId="0" borderId="0" xfId="51" applyNumberFormat="1" applyFont="1" applyBorder="1" applyAlignment="1">
      <alignment horizontal="center" vertical="center"/>
    </xf>
    <xf numFmtId="168"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0" fontId="4" fillId="0" borderId="0" xfId="51" applyNumberFormat="1" applyFont="1" applyFill="1" applyBorder="1" applyAlignment="1">
      <alignment horizontal="center" vertical="center"/>
    </xf>
    <xf numFmtId="0" fontId="0" fillId="0" borderId="0" xfId="0" applyFont="1" applyFill="1" applyBorder="1"/>
    <xf numFmtId="0" fontId="5" fillId="0" borderId="0" xfId="0" applyFont="1" applyBorder="1"/>
    <xf numFmtId="0" fontId="31" fillId="15" borderId="0" xfId="53" applyFont="1" applyFill="1" applyBorder="1"/>
    <xf numFmtId="10" fontId="0" fillId="0" borderId="0" xfId="51" applyNumberFormat="1" applyFont="1" applyFill="1" applyBorder="1" applyAlignment="1">
      <alignment horizontal="center" vertical="center"/>
    </xf>
    <xf numFmtId="178" fontId="79" fillId="0" borderId="65" xfId="0" applyNumberFormat="1" applyFont="1" applyFill="1" applyBorder="1"/>
    <xf numFmtId="178" fontId="22" fillId="28" borderId="0" xfId="0" applyNumberFormat="1" applyFont="1" applyFill="1" applyBorder="1"/>
    <xf numFmtId="178" fontId="22" fillId="28" borderId="58" xfId="0" applyNumberFormat="1" applyFont="1" applyFill="1" applyBorder="1"/>
    <xf numFmtId="178" fontId="22" fillId="28" borderId="0" xfId="52" applyNumberFormat="1" applyFont="1" applyFill="1" applyBorder="1"/>
    <xf numFmtId="178" fontId="22" fillId="28" borderId="60" xfId="0" applyNumberFormat="1" applyFont="1" applyFill="1" applyBorder="1"/>
    <xf numFmtId="178" fontId="22" fillId="28" borderId="61" xfId="0" applyNumberFormat="1" applyFont="1" applyFill="1" applyBorder="1"/>
    <xf numFmtId="0" fontId="82" fillId="0" borderId="64" xfId="0" applyFont="1" applyFill="1" applyBorder="1"/>
    <xf numFmtId="2" fontId="82" fillId="0" borderId="65" xfId="0" applyNumberFormat="1" applyFont="1" applyFill="1" applyBorder="1"/>
    <xf numFmtId="2" fontId="82" fillId="0" borderId="62" xfId="0" applyNumberFormat="1" applyFont="1" applyFill="1" applyBorder="1"/>
    <xf numFmtId="0" fontId="83" fillId="0" borderId="0" xfId="0" applyFont="1"/>
    <xf numFmtId="0" fontId="83" fillId="0" borderId="63" xfId="0" applyFont="1" applyBorder="1"/>
    <xf numFmtId="0" fontId="83" fillId="0" borderId="59" xfId="0" applyFont="1" applyBorder="1"/>
    <xf numFmtId="2" fontId="83" fillId="0" borderId="0" xfId="0" applyNumberFormat="1" applyFont="1" applyFill="1" applyBorder="1"/>
    <xf numFmtId="2" fontId="83" fillId="0" borderId="0" xfId="161" applyNumberFormat="1" applyFont="1" applyFill="1" applyBorder="1"/>
    <xf numFmtId="2" fontId="83" fillId="0" borderId="58" xfId="0" applyNumberFormat="1" applyFont="1" applyFill="1" applyBorder="1"/>
    <xf numFmtId="2" fontId="83" fillId="0" borderId="60" xfId="0" applyNumberFormat="1" applyFont="1" applyFill="1" applyBorder="1"/>
    <xf numFmtId="2" fontId="83" fillId="0" borderId="60" xfId="161" applyNumberFormat="1" applyFont="1" applyFill="1" applyBorder="1"/>
    <xf numFmtId="2" fontId="83" fillId="0" borderId="61" xfId="0" applyNumberFormat="1" applyFont="1" applyFill="1" applyBorder="1"/>
    <xf numFmtId="3" fontId="0" fillId="0" borderId="0" xfId="0" applyNumberFormat="1"/>
    <xf numFmtId="3" fontId="0" fillId="26" borderId="16" xfId="0" applyNumberFormat="1" applyFill="1" applyBorder="1" applyAlignment="1">
      <alignment horizontal="center"/>
    </xf>
    <xf numFmtId="3" fontId="0" fillId="0" borderId="85" xfId="0" applyNumberFormat="1" applyBorder="1"/>
    <xf numFmtId="0" fontId="31" fillId="0" borderId="0" xfId="0" applyFont="1" applyFill="1" applyBorder="1"/>
    <xf numFmtId="9" fontId="29" fillId="0" borderId="66" xfId="51" applyFont="1" applyFill="1" applyBorder="1"/>
    <xf numFmtId="171" fontId="84" fillId="0" borderId="0" xfId="0" applyNumberFormat="1" applyFont="1" applyFill="1" applyBorder="1"/>
    <xf numFmtId="3" fontId="84" fillId="0" borderId="0" xfId="0" applyNumberFormat="1" applyFont="1" applyFill="1" applyBorder="1" applyAlignment="1">
      <alignment horizontal="center"/>
    </xf>
    <xf numFmtId="9" fontId="76" fillId="0" borderId="0" xfId="51" applyFont="1" applyFill="1" applyBorder="1"/>
    <xf numFmtId="4" fontId="84" fillId="0" borderId="0" xfId="0" applyNumberFormat="1" applyFont="1" applyFill="1" applyBorder="1" applyAlignment="1">
      <alignment horizontal="center"/>
    </xf>
    <xf numFmtId="177" fontId="6" fillId="0" borderId="39" xfId="153" applyNumberFormat="1" applyFont="1" applyFill="1" applyBorder="1" applyAlignment="1">
      <alignment vertical="center"/>
    </xf>
    <xf numFmtId="0" fontId="6" fillId="0" borderId="0" xfId="153" applyFont="1" applyFill="1" applyBorder="1"/>
    <xf numFmtId="0" fontId="29" fillId="0" borderId="40" xfId="153" applyFont="1" applyFill="1" applyBorder="1"/>
    <xf numFmtId="177" fontId="4" fillId="0" borderId="39" xfId="153" applyNumberFormat="1" applyFont="1" applyFill="1" applyBorder="1" applyAlignment="1">
      <alignment vertical="center"/>
    </xf>
    <xf numFmtId="0" fontId="4" fillId="0" borderId="0" xfId="153" applyFont="1" applyFill="1" applyBorder="1"/>
    <xf numFmtId="0" fontId="85" fillId="0" borderId="0" xfId="0" applyFont="1" applyAlignment="1">
      <alignment horizontal="right"/>
    </xf>
    <xf numFmtId="0" fontId="85" fillId="0" borderId="0" xfId="0" applyFont="1" applyBorder="1"/>
    <xf numFmtId="0" fontId="85" fillId="0" borderId="20" xfId="0" applyFont="1" applyBorder="1"/>
    <xf numFmtId="171" fontId="0" fillId="0" borderId="28" xfId="0" applyNumberFormat="1" applyBorder="1" applyAlignment="1">
      <alignment horizontal="left" vertical="top" wrapText="1"/>
    </xf>
    <xf numFmtId="0" fontId="76" fillId="0" borderId="0" xfId="0" applyNumberFormat="1" applyFont="1"/>
    <xf numFmtId="0" fontId="76" fillId="0" borderId="0" xfId="0" applyFont="1"/>
    <xf numFmtId="180" fontId="76" fillId="0" borderId="0" xfId="0" applyNumberFormat="1" applyFont="1"/>
    <xf numFmtId="0" fontId="76" fillId="0" borderId="0" xfId="0" applyNumberFormat="1" applyFont="1" applyBorder="1"/>
    <xf numFmtId="0" fontId="76" fillId="0" borderId="0" xfId="0" applyFont="1" applyBorder="1"/>
    <xf numFmtId="0" fontId="76" fillId="0" borderId="0" xfId="0" applyNumberFormat="1" applyFont="1" applyFill="1" applyBorder="1"/>
    <xf numFmtId="180" fontId="76" fillId="0" borderId="0" xfId="0" applyNumberFormat="1" applyFont="1" applyFill="1" applyBorder="1"/>
    <xf numFmtId="177" fontId="0" fillId="0" borderId="39" xfId="153" applyNumberFormat="1" applyFont="1" applyFill="1" applyBorder="1" applyAlignment="1">
      <alignment vertical="center"/>
    </xf>
    <xf numFmtId="0" fontId="85" fillId="0" borderId="0" xfId="153" applyFont="1" applyFill="1" applyBorder="1"/>
    <xf numFmtId="0" fontId="85" fillId="0" borderId="0" xfId="0" applyFont="1"/>
    <xf numFmtId="0" fontId="87" fillId="0" borderId="0" xfId="153" applyFont="1" applyFill="1" applyBorder="1"/>
    <xf numFmtId="0" fontId="88" fillId="0" borderId="0" xfId="0" applyFont="1"/>
    <xf numFmtId="0" fontId="16" fillId="0" borderId="0" xfId="53" applyFont="1" applyFill="1" applyBorder="1"/>
    <xf numFmtId="0" fontId="31" fillId="0" borderId="0" xfId="53" applyFont="1" applyFill="1" applyBorder="1"/>
    <xf numFmtId="0" fontId="85" fillId="0" borderId="0" xfId="53" applyFont="1" applyFill="1" applyBorder="1"/>
    <xf numFmtId="178" fontId="79" fillId="0" borderId="65" xfId="0" quotePrefix="1" applyNumberFormat="1" applyFont="1" applyFill="1" applyBorder="1"/>
    <xf numFmtId="9" fontId="85" fillId="0" borderId="0" xfId="51" applyFont="1"/>
    <xf numFmtId="177" fontId="85" fillId="0" borderId="0" xfId="153" applyNumberFormat="1" applyFont="1" applyFill="1" applyBorder="1"/>
    <xf numFmtId="181" fontId="79" fillId="0" borderId="0" xfId="0" applyNumberFormat="1" applyFont="1" applyFill="1" applyBorder="1" applyAlignment="1">
      <alignment horizontal="center"/>
    </xf>
    <xf numFmtId="177" fontId="85" fillId="0" borderId="0" xfId="153" applyNumberFormat="1" applyFont="1" applyFill="1" applyBorder="1" applyAlignment="1">
      <alignment vertical="center"/>
    </xf>
    <xf numFmtId="178" fontId="22" fillId="0" borderId="0" xfId="0" applyNumberFormat="1" applyFont="1" applyFill="1" applyBorder="1"/>
    <xf numFmtId="178" fontId="80" fillId="0" borderId="0" xfId="0" applyNumberFormat="1" applyFont="1" applyFill="1" applyBorder="1"/>
    <xf numFmtId="178" fontId="22" fillId="0" borderId="0" xfId="162" applyNumberFormat="1" applyFont="1" applyFill="1" applyBorder="1"/>
    <xf numFmtId="178" fontId="22" fillId="0" borderId="60" xfId="0" applyNumberFormat="1" applyFont="1" applyFill="1" applyBorder="1"/>
    <xf numFmtId="178" fontId="22" fillId="0" borderId="60" xfId="162" applyNumberFormat="1" applyFont="1" applyFill="1" applyBorder="1"/>
    <xf numFmtId="178" fontId="80" fillId="0" borderId="60" xfId="0" applyNumberFormat="1" applyFont="1" applyFill="1" applyBorder="1"/>
    <xf numFmtId="3" fontId="33" fillId="0" borderId="6" xfId="0" quotePrefix="1" applyNumberFormat="1" applyFont="1" applyFill="1" applyBorder="1" applyAlignment="1">
      <alignment horizontal="center"/>
    </xf>
    <xf numFmtId="0" fontId="66" fillId="25" borderId="12" xfId="0" applyFont="1" applyFill="1" applyBorder="1" applyAlignment="1">
      <alignment horizontal="justify" wrapText="1"/>
    </xf>
    <xf numFmtId="0" fontId="29" fillId="11" borderId="27" xfId="0" applyFont="1" applyFill="1" applyBorder="1" applyAlignment="1">
      <alignment horizontal="justify" wrapText="1"/>
    </xf>
    <xf numFmtId="0" fontId="57" fillId="0" borderId="29" xfId="0" applyFont="1" applyBorder="1"/>
    <xf numFmtId="0" fontId="16" fillId="0" borderId="28" xfId="155" applyNumberFormat="1" applyFont="1" applyBorder="1" applyAlignment="1">
      <alignment vertical="top"/>
    </xf>
    <xf numFmtId="0" fontId="16" fillId="0" borderId="53" xfId="155" applyNumberFormat="1" applyFont="1" applyBorder="1"/>
    <xf numFmtId="0" fontId="16" fillId="0" borderId="54" xfId="155" applyNumberFormat="1" applyFont="1" applyBorder="1"/>
    <xf numFmtId="0" fontId="16" fillId="0" borderId="25" xfId="155" applyNumberFormat="1" applyFont="1" applyBorder="1" applyAlignment="1">
      <alignment vertical="top" wrapText="1"/>
    </xf>
    <xf numFmtId="0" fontId="16" fillId="0" borderId="0" xfId="155" applyNumberFormat="1" applyFont="1" applyBorder="1"/>
    <xf numFmtId="0" fontId="16" fillId="0" borderId="20" xfId="155" applyNumberFormat="1" applyFont="1" applyBorder="1"/>
    <xf numFmtId="0" fontId="36" fillId="0" borderId="27" xfId="151" applyNumberFormat="1" applyBorder="1" applyAlignment="1" applyProtection="1">
      <alignment vertical="top"/>
    </xf>
    <xf numFmtId="0" fontId="16" fillId="0" borderId="52" xfId="155" applyNumberFormat="1" applyFont="1" applyBorder="1"/>
    <xf numFmtId="0" fontId="36" fillId="0" borderId="12" xfId="151" applyNumberFormat="1" applyBorder="1" applyAlignment="1" applyProtection="1">
      <alignment vertical="top"/>
    </xf>
    <xf numFmtId="0" fontId="0" fillId="0" borderId="25" xfId="0" applyNumberFormat="1" applyBorder="1" applyAlignment="1">
      <alignment vertical="top" wrapText="1"/>
    </xf>
    <xf numFmtId="0" fontId="0" fillId="0" borderId="28" xfId="0" applyNumberFormat="1" applyBorder="1" applyAlignment="1">
      <alignment vertical="top"/>
    </xf>
    <xf numFmtId="0" fontId="0" fillId="0" borderId="0" xfId="0" applyNumberFormat="1" applyBorder="1" applyAlignment="1">
      <alignment vertical="top" wrapText="1"/>
    </xf>
    <xf numFmtId="0" fontId="0" fillId="0" borderId="20" xfId="0" applyNumberFormat="1" applyBorder="1" applyAlignment="1">
      <alignment vertical="top"/>
    </xf>
    <xf numFmtId="0" fontId="16" fillId="0" borderId="25" xfId="0" applyNumberFormat="1" applyFont="1" applyBorder="1" applyAlignment="1">
      <alignment vertical="top" wrapText="1"/>
    </xf>
    <xf numFmtId="0" fontId="16" fillId="0" borderId="28" xfId="0" applyNumberFormat="1" applyFont="1" applyBorder="1" applyAlignment="1">
      <alignment vertical="top"/>
    </xf>
    <xf numFmtId="0" fontId="0" fillId="0" borderId="12" xfId="0" applyNumberFormat="1" applyFill="1" applyBorder="1"/>
    <xf numFmtId="0" fontId="0" fillId="0" borderId="0" xfId="0" applyNumberFormat="1" applyFill="1" applyBorder="1"/>
    <xf numFmtId="180" fontId="0" fillId="0" borderId="20" xfId="0" applyNumberFormat="1" applyFill="1" applyBorder="1"/>
    <xf numFmtId="0" fontId="0" fillId="0" borderId="12" xfId="0" applyNumberFormat="1" applyBorder="1"/>
    <xf numFmtId="0" fontId="0" fillId="0" borderId="0" xfId="0" applyNumberFormat="1" applyBorder="1"/>
    <xf numFmtId="180" fontId="0" fillId="0" borderId="20" xfId="0" applyNumberFormat="1" applyBorder="1"/>
    <xf numFmtId="0" fontId="0" fillId="0" borderId="29" xfId="0" applyNumberFormat="1" applyFill="1" applyBorder="1"/>
    <xf numFmtId="0" fontId="0" fillId="0" borderId="26" xfId="0" applyNumberFormat="1" applyFill="1" applyBorder="1"/>
    <xf numFmtId="180" fontId="0" fillId="0" borderId="30" xfId="0" applyNumberFormat="1" applyFill="1" applyBorder="1"/>
    <xf numFmtId="0" fontId="0" fillId="0" borderId="29" xfId="0" applyNumberFormat="1" applyBorder="1"/>
    <xf numFmtId="49" fontId="43" fillId="0" borderId="23" xfId="0" applyNumberFormat="1" applyFont="1" applyFill="1" applyBorder="1" applyAlignment="1">
      <alignment horizontal="left" vertical="center" wrapText="1"/>
    </xf>
    <xf numFmtId="0" fontId="0" fillId="0" borderId="0" xfId="0" applyAlignment="1">
      <alignment horizontal="justify" vertical="center"/>
    </xf>
    <xf numFmtId="0" fontId="16" fillId="0" borderId="28" xfId="155" applyNumberFormat="1" applyFont="1" applyBorder="1" applyAlignment="1">
      <alignment vertical="top" wrapText="1"/>
    </xf>
    <xf numFmtId="0" fontId="85" fillId="0" borderId="40" xfId="0" applyFont="1" applyBorder="1"/>
    <xf numFmtId="1" fontId="85" fillId="0" borderId="86" xfId="0" applyNumberFormat="1" applyFont="1" applyBorder="1"/>
    <xf numFmtId="0" fontId="0" fillId="0" borderId="0" xfId="153" applyFont="1" applyFill="1" applyBorder="1"/>
    <xf numFmtId="0" fontId="88" fillId="0" borderId="40" xfId="0" applyFont="1" applyFill="1" applyBorder="1"/>
    <xf numFmtId="0" fontId="85" fillId="0" borderId="0" xfId="153" applyFont="1" applyFill="1" applyBorder="1" applyAlignment="1">
      <alignment horizontal="left"/>
    </xf>
    <xf numFmtId="0" fontId="0" fillId="0" borderId="87" xfId="0" applyBorder="1"/>
    <xf numFmtId="0" fontId="0" fillId="0" borderId="88" xfId="0" applyBorder="1"/>
    <xf numFmtId="0" fontId="85" fillId="0" borderId="88" xfId="0" applyFont="1" applyBorder="1"/>
    <xf numFmtId="0" fontId="0" fillId="0" borderId="89" xfId="0" applyBorder="1"/>
    <xf numFmtId="0" fontId="0" fillId="0" borderId="39" xfId="0" applyBorder="1"/>
    <xf numFmtId="0" fontId="0" fillId="0" borderId="43" xfId="0" applyBorder="1"/>
    <xf numFmtId="9" fontId="0" fillId="0" borderId="40" xfId="51" applyFont="1" applyBorder="1"/>
    <xf numFmtId="9" fontId="0" fillId="0" borderId="44" xfId="51" applyFont="1" applyBorder="1"/>
    <xf numFmtId="0" fontId="0" fillId="0" borderId="87" xfId="0" applyFont="1" applyFill="1" applyBorder="1"/>
    <xf numFmtId="0" fontId="0" fillId="0" borderId="88" xfId="0" applyFont="1" applyFill="1" applyBorder="1" applyAlignment="1">
      <alignment horizontal="center" vertical="center"/>
    </xf>
    <xf numFmtId="0" fontId="0" fillId="0" borderId="89" xfId="0" applyFill="1" applyBorder="1"/>
    <xf numFmtId="0" fontId="16" fillId="0" borderId="40" xfId="0" applyFont="1" applyFill="1" applyBorder="1" applyAlignment="1">
      <alignment horizontal="left" vertical="top" wrapText="1"/>
    </xf>
    <xf numFmtId="0" fontId="0" fillId="0" borderId="39" xfId="0" applyFont="1" applyFill="1" applyBorder="1" applyAlignment="1">
      <alignment vertical="center"/>
    </xf>
    <xf numFmtId="0" fontId="5" fillId="0" borderId="40" xfId="0" applyFont="1" applyBorder="1"/>
    <xf numFmtId="0" fontId="0" fillId="0" borderId="43" xfId="0" applyFont="1" applyFill="1" applyBorder="1" applyAlignment="1">
      <alignment vertical="center"/>
    </xf>
    <xf numFmtId="0" fontId="0" fillId="0" borderId="26" xfId="0" applyFont="1" applyFill="1" applyBorder="1" applyAlignment="1">
      <alignment horizontal="center" vertical="center"/>
    </xf>
    <xf numFmtId="10" fontId="0" fillId="0" borderId="26" xfId="51" applyNumberFormat="1" applyFont="1" applyFill="1" applyBorder="1" applyAlignment="1">
      <alignment horizontal="center" vertical="center"/>
    </xf>
    <xf numFmtId="0" fontId="0" fillId="0" borderId="26" xfId="0" applyFont="1" applyFill="1" applyBorder="1"/>
    <xf numFmtId="0" fontId="5" fillId="0" borderId="44" xfId="0" applyFont="1" applyBorder="1"/>
    <xf numFmtId="10" fontId="4" fillId="0" borderId="26" xfId="51" applyNumberFormat="1" applyFont="1" applyFill="1" applyBorder="1" applyAlignment="1">
      <alignment horizontal="center" vertical="center"/>
    </xf>
    <xf numFmtId="0" fontId="68" fillId="0" borderId="87" xfId="0" applyFont="1" applyFill="1" applyBorder="1" applyAlignment="1">
      <alignment vertical="center"/>
    </xf>
    <xf numFmtId="0" fontId="76" fillId="0" borderId="0" xfId="0" applyFont="1" applyFill="1" applyBorder="1" applyAlignment="1">
      <alignment wrapText="1"/>
    </xf>
    <xf numFmtId="0" fontId="32" fillId="0" borderId="0" xfId="0" applyFont="1" applyFill="1" applyBorder="1" applyAlignment="1">
      <alignment wrapText="1"/>
    </xf>
    <xf numFmtId="177" fontId="4" fillId="0" borderId="0" xfId="153" applyNumberFormat="1" applyFont="1" applyFill="1" applyBorder="1"/>
    <xf numFmtId="0" fontId="0" fillId="0" borderId="0" xfId="0" applyFont="1"/>
    <xf numFmtId="0" fontId="16" fillId="0" borderId="40" xfId="153" applyFont="1" applyFill="1" applyBorder="1"/>
    <xf numFmtId="0" fontId="85" fillId="0" borderId="40" xfId="153" applyFont="1" applyFill="1" applyBorder="1"/>
    <xf numFmtId="3" fontId="4" fillId="0" borderId="0" xfId="153" applyNumberFormat="1" applyFont="1" applyFill="1" applyBorder="1"/>
    <xf numFmtId="0" fontId="0" fillId="0" borderId="0" xfId="153" quotePrefix="1" applyFont="1" applyFill="1" applyBorder="1" applyAlignment="1">
      <alignment horizontal="right"/>
    </xf>
    <xf numFmtId="0" fontId="86" fillId="0" borderId="7" xfId="53" applyFont="1" applyFill="1" applyBorder="1"/>
    <xf numFmtId="0" fontId="85" fillId="0" borderId="7" xfId="0" applyFont="1" applyBorder="1"/>
    <xf numFmtId="164" fontId="5" fillId="0" borderId="0" xfId="0" applyNumberFormat="1" applyFont="1"/>
    <xf numFmtId="0" fontId="86" fillId="0" borderId="7" xfId="53" applyFont="1" applyFill="1" applyBorder="1" applyAlignment="1">
      <alignment horizontal="right"/>
    </xf>
    <xf numFmtId="9" fontId="85" fillId="0" borderId="7" xfId="51" applyFont="1" applyFill="1" applyBorder="1"/>
    <xf numFmtId="0" fontId="31" fillId="0" borderId="0" xfId="0" applyFont="1"/>
    <xf numFmtId="2" fontId="16" fillId="0" borderId="4" xfId="0" applyNumberFormat="1" applyFont="1" applyBorder="1"/>
    <xf numFmtId="1" fontId="16" fillId="0" borderId="0" xfId="0" applyNumberFormat="1" applyFont="1" applyBorder="1"/>
    <xf numFmtId="177" fontId="16" fillId="0" borderId="46" xfId="52" applyNumberFormat="1" applyFont="1" applyFill="1" applyBorder="1"/>
    <xf numFmtId="2" fontId="0" fillId="0" borderId="16" xfId="0" applyNumberFormat="1" applyBorder="1"/>
    <xf numFmtId="2" fontId="0" fillId="0" borderId="6" xfId="0" applyNumberFormat="1" applyBorder="1"/>
    <xf numFmtId="9" fontId="0" fillId="0" borderId="17" xfId="51" applyFont="1" applyBorder="1"/>
    <xf numFmtId="2" fontId="0" fillId="0" borderId="7" xfId="0" applyNumberFormat="1" applyBorder="1"/>
    <xf numFmtId="3" fontId="16" fillId="0" borderId="0" xfId="0" applyNumberFormat="1" applyFont="1" applyFill="1" applyBorder="1"/>
    <xf numFmtId="175" fontId="16" fillId="0" borderId="0" xfId="0" applyNumberFormat="1" applyFont="1" applyFill="1" applyBorder="1"/>
    <xf numFmtId="178" fontId="85" fillId="0" borderId="0" xfId="0" applyNumberFormat="1" applyFont="1"/>
    <xf numFmtId="3" fontId="0" fillId="0" borderId="0" xfId="0" applyNumberFormat="1" applyFont="1"/>
    <xf numFmtId="3" fontId="85" fillId="0" borderId="0" xfId="0" applyNumberFormat="1" applyFont="1"/>
    <xf numFmtId="3" fontId="85" fillId="0" borderId="0" xfId="153" applyNumberFormat="1" applyFont="1" applyFill="1" applyBorder="1"/>
    <xf numFmtId="3" fontId="85" fillId="0" borderId="7" xfId="0" applyNumberFormat="1" applyFont="1" applyBorder="1"/>
    <xf numFmtId="3" fontId="85" fillId="0" borderId="0" xfId="0" applyNumberFormat="1" applyFont="1" applyBorder="1"/>
    <xf numFmtId="3" fontId="0" fillId="0" borderId="40" xfId="0" applyNumberFormat="1" applyBorder="1"/>
    <xf numFmtId="3" fontId="85" fillId="0" borderId="26" xfId="0" applyNumberFormat="1" applyFont="1" applyBorder="1"/>
    <xf numFmtId="3" fontId="0" fillId="0" borderId="44" xfId="0" applyNumberFormat="1" applyBorder="1"/>
    <xf numFmtId="178" fontId="79" fillId="0" borderId="62" xfId="0" quotePrefix="1" applyNumberFormat="1" applyFont="1" applyFill="1" applyBorder="1"/>
    <xf numFmtId="178" fontId="79" fillId="0" borderId="3" xfId="0" quotePrefix="1" applyNumberFormat="1" applyFont="1" applyFill="1" applyBorder="1"/>
    <xf numFmtId="3" fontId="84" fillId="0" borderId="0" xfId="0" applyNumberFormat="1" applyFont="1" applyFill="1" applyBorder="1"/>
    <xf numFmtId="3" fontId="33" fillId="0" borderId="0" xfId="0" applyNumberFormat="1" applyFont="1" applyFill="1" applyBorder="1"/>
    <xf numFmtId="0" fontId="51" fillId="0" borderId="0" xfId="152" applyFont="1" applyFill="1" applyBorder="1"/>
    <xf numFmtId="9" fontId="51" fillId="0" borderId="0" xfId="152" applyNumberFormat="1" applyFont="1" applyFill="1" applyBorder="1"/>
    <xf numFmtId="9" fontId="51" fillId="0" borderId="0" xfId="51" applyFont="1" applyFill="1" applyBorder="1"/>
    <xf numFmtId="179" fontId="51" fillId="0" borderId="0" xfId="152" applyNumberFormat="1" applyFont="1" applyFill="1" applyBorder="1"/>
    <xf numFmtId="165" fontId="51" fillId="0" borderId="0" xfId="52" applyFont="1" applyFill="1" applyBorder="1"/>
    <xf numFmtId="0" fontId="67" fillId="9" borderId="90" xfId="0" applyFont="1" applyFill="1" applyBorder="1" applyAlignment="1">
      <alignment horizontal="center" vertical="top" wrapText="1"/>
    </xf>
    <xf numFmtId="0" fontId="67" fillId="27" borderId="85" xfId="0" applyNumberFormat="1" applyFont="1" applyFill="1" applyBorder="1" applyAlignment="1">
      <alignment horizontal="center" vertical="top" wrapText="1"/>
    </xf>
    <xf numFmtId="0" fontId="0" fillId="0" borderId="0" xfId="0" applyFill="1" applyAlignment="1">
      <alignment horizontal="center" vertical="top"/>
    </xf>
    <xf numFmtId="0" fontId="32" fillId="0" borderId="0" xfId="0" applyFont="1" applyFill="1"/>
    <xf numFmtId="0" fontId="83" fillId="0" borderId="0" xfId="0" applyFont="1" applyFill="1"/>
    <xf numFmtId="0" fontId="39" fillId="15" borderId="8" xfId="0" applyFont="1" applyFill="1" applyBorder="1" applyAlignment="1">
      <alignment vertical="center"/>
    </xf>
    <xf numFmtId="0" fontId="16" fillId="0" borderId="0" xfId="0" applyNumberFormat="1" applyFont="1"/>
    <xf numFmtId="171" fontId="36" fillId="0" borderId="0" xfId="156" applyBorder="1" applyAlignment="1" applyProtection="1"/>
    <xf numFmtId="0" fontId="0" fillId="0" borderId="24" xfId="0" applyNumberFormat="1" applyFont="1" applyFill="1" applyBorder="1" applyAlignment="1">
      <alignment vertical="top"/>
    </xf>
    <xf numFmtId="0" fontId="16" fillId="0" borderId="19" xfId="0" applyNumberFormat="1" applyFont="1" applyFill="1" applyBorder="1" applyAlignment="1">
      <alignment horizontal="justify" vertical="top" wrapText="1"/>
    </xf>
    <xf numFmtId="0" fontId="16" fillId="0" borderId="9" xfId="0" applyNumberFormat="1" applyFont="1" applyFill="1" applyBorder="1" applyAlignment="1">
      <alignment horizontal="justify" vertical="top" wrapText="1"/>
    </xf>
    <xf numFmtId="0" fontId="0" fillId="0" borderId="0" xfId="0" applyNumberFormat="1" applyFont="1" applyBorder="1" applyAlignment="1">
      <alignment vertical="top"/>
    </xf>
    <xf numFmtId="0" fontId="36" fillId="0" borderId="0" xfId="151" applyAlignment="1" applyProtection="1">
      <alignment vertical="center"/>
    </xf>
    <xf numFmtId="3" fontId="51" fillId="17" borderId="0" xfId="152" applyNumberFormat="1" applyFont="1" applyBorder="1" applyProtection="1"/>
    <xf numFmtId="0" fontId="55" fillId="0" borderId="0" xfId="53" applyFont="1" applyFill="1" applyBorder="1" applyProtection="1">
      <protection locked="0"/>
    </xf>
    <xf numFmtId="0" fontId="29" fillId="0" borderId="0" xfId="53" applyFont="1" applyFill="1" applyBorder="1" applyProtection="1">
      <protection locked="0"/>
    </xf>
    <xf numFmtId="0" fontId="45" fillId="0" borderId="0" xfId="53" applyFont="1" applyFill="1" applyBorder="1" applyProtection="1">
      <protection locked="0"/>
    </xf>
    <xf numFmtId="177" fontId="54" fillId="15" borderId="39" xfId="153" applyNumberFormat="1" applyFont="1" applyFill="1" applyBorder="1" applyAlignment="1" applyProtection="1">
      <alignment vertical="center"/>
      <protection locked="0"/>
    </xf>
    <xf numFmtId="0" fontId="6" fillId="15" borderId="0" xfId="153" applyFont="1" applyFill="1" applyBorder="1" applyProtection="1">
      <protection locked="0"/>
    </xf>
    <xf numFmtId="0" fontId="6" fillId="15" borderId="40" xfId="153" applyFont="1" applyFill="1" applyBorder="1" applyProtection="1">
      <protection locked="0"/>
    </xf>
    <xf numFmtId="0" fontId="0" fillId="0" borderId="0" xfId="0" applyProtection="1">
      <protection locked="0"/>
    </xf>
    <xf numFmtId="177" fontId="6" fillId="0" borderId="41" xfId="153" applyNumberFormat="1" applyFont="1" applyFill="1" applyBorder="1" applyAlignment="1" applyProtection="1">
      <alignment vertical="center"/>
      <protection locked="0"/>
    </xf>
    <xf numFmtId="0" fontId="6" fillId="0" borderId="38" xfId="153" applyFont="1" applyFill="1" applyBorder="1" applyProtection="1">
      <protection locked="0"/>
    </xf>
    <xf numFmtId="0" fontId="6" fillId="0" borderId="42" xfId="153" applyFont="1" applyFill="1" applyBorder="1" applyProtection="1">
      <protection locked="0"/>
    </xf>
    <xf numFmtId="0" fontId="0" fillId="0" borderId="39" xfId="0" applyFill="1" applyBorder="1" applyProtection="1">
      <protection locked="0"/>
    </xf>
    <xf numFmtId="9" fontId="6" fillId="11" borderId="0" xfId="51" applyFont="1" applyFill="1" applyProtection="1">
      <protection locked="0"/>
    </xf>
    <xf numFmtId="0" fontId="0" fillId="0" borderId="0" xfId="0" applyFill="1" applyBorder="1" applyProtection="1">
      <protection locked="0"/>
    </xf>
    <xf numFmtId="9" fontId="0" fillId="0" borderId="0" xfId="51" applyFont="1" applyFill="1" applyBorder="1" applyProtection="1">
      <protection locked="0"/>
    </xf>
    <xf numFmtId="0" fontId="0" fillId="0" borderId="40" xfId="0" applyFill="1" applyBorder="1" applyProtection="1">
      <protection locked="0"/>
    </xf>
    <xf numFmtId="177" fontId="6" fillId="0" borderId="0" xfId="52" applyNumberFormat="1" applyFont="1" applyFill="1" applyProtection="1">
      <protection locked="0"/>
    </xf>
    <xf numFmtId="0" fontId="32" fillId="0" borderId="39" xfId="0" applyFont="1" applyFill="1" applyBorder="1" applyAlignment="1" applyProtection="1">
      <alignment horizontal="right"/>
      <protection locked="0"/>
    </xf>
    <xf numFmtId="9" fontId="32" fillId="0" borderId="0" xfId="51" applyFont="1" applyFill="1" applyBorder="1" applyProtection="1">
      <protection locked="0"/>
    </xf>
    <xf numFmtId="0" fontId="32" fillId="0" borderId="0" xfId="0" applyFont="1" applyFill="1" applyBorder="1" applyProtection="1">
      <protection locked="0"/>
    </xf>
    <xf numFmtId="0" fontId="0" fillId="0" borderId="40" xfId="0" applyFont="1" applyFill="1" applyBorder="1" applyProtection="1">
      <protection locked="0"/>
    </xf>
    <xf numFmtId="0" fontId="0" fillId="0" borderId="40" xfId="0" applyFont="1" applyFill="1" applyBorder="1" applyAlignment="1" applyProtection="1">
      <alignment wrapText="1"/>
      <protection locked="0"/>
    </xf>
    <xf numFmtId="1" fontId="0" fillId="0" borderId="0" xfId="0" applyNumberFormat="1" applyFill="1" applyBorder="1" applyProtection="1">
      <protection locked="0"/>
    </xf>
    <xf numFmtId="177" fontId="0" fillId="0" borderId="0" xfId="0" applyNumberFormat="1" applyFill="1" applyBorder="1" applyProtection="1">
      <protection locked="0"/>
    </xf>
    <xf numFmtId="0" fontId="32" fillId="0" borderId="0" xfId="0" applyFont="1" applyProtection="1">
      <protection locked="0"/>
    </xf>
    <xf numFmtId="0" fontId="0" fillId="0" borderId="40" xfId="0" quotePrefix="1" applyFont="1" applyFill="1" applyBorder="1" applyAlignment="1" applyProtection="1">
      <alignment horizontal="center" vertical="center"/>
      <protection locked="0"/>
    </xf>
    <xf numFmtId="178" fontId="0" fillId="0" borderId="0" xfId="0" applyNumberFormat="1" applyFill="1" applyBorder="1" applyProtection="1">
      <protection locked="0"/>
    </xf>
    <xf numFmtId="0" fontId="0" fillId="0" borderId="0" xfId="0" quotePrefix="1" applyProtection="1">
      <protection locked="0"/>
    </xf>
    <xf numFmtId="0" fontId="16" fillId="0" borderId="39" xfId="0" applyFont="1" applyFill="1" applyBorder="1" applyProtection="1">
      <protection locked="0"/>
    </xf>
    <xf numFmtId="177" fontId="16" fillId="0" borderId="0" xfId="52" applyNumberFormat="1" applyFont="1" applyFill="1" applyBorder="1" applyProtection="1">
      <protection locked="0"/>
    </xf>
    <xf numFmtId="0" fontId="16" fillId="0" borderId="0" xfId="0" applyFont="1" applyFill="1" applyBorder="1" applyProtection="1">
      <protection locked="0"/>
    </xf>
    <xf numFmtId="0" fontId="16" fillId="0" borderId="40" xfId="0" applyFont="1" applyFill="1" applyBorder="1" applyProtection="1">
      <protection locked="0"/>
    </xf>
    <xf numFmtId="0" fontId="16" fillId="0" borderId="0" xfId="0" applyFont="1" applyProtection="1">
      <protection locked="0"/>
    </xf>
    <xf numFmtId="177" fontId="0" fillId="0" borderId="0" xfId="52" applyNumberFormat="1" applyFont="1" applyFill="1" applyBorder="1" applyProtection="1">
      <protection locked="0"/>
    </xf>
    <xf numFmtId="0" fontId="0" fillId="0" borderId="0" xfId="0" applyBorder="1" applyProtection="1">
      <protection locked="0"/>
    </xf>
    <xf numFmtId="0" fontId="0" fillId="0" borderId="49" xfId="0" applyFill="1" applyBorder="1" applyProtection="1">
      <protection locked="0"/>
    </xf>
    <xf numFmtId="177" fontId="0" fillId="0" borderId="50" xfId="52" applyNumberFormat="1" applyFont="1" applyFill="1" applyBorder="1" applyProtection="1">
      <protection locked="0"/>
    </xf>
    <xf numFmtId="0" fontId="0" fillId="0" borderId="50" xfId="0" applyFill="1" applyBorder="1" applyProtection="1">
      <protection locked="0"/>
    </xf>
    <xf numFmtId="0" fontId="0" fillId="0" borderId="51" xfId="0" applyFill="1" applyBorder="1" applyProtection="1">
      <protection locked="0"/>
    </xf>
    <xf numFmtId="0" fontId="0" fillId="0" borderId="43" xfId="0" applyFill="1" applyBorder="1" applyProtection="1">
      <protection locked="0"/>
    </xf>
    <xf numFmtId="177" fontId="0" fillId="0" borderId="26" xfId="52" applyNumberFormat="1" applyFont="1" applyFill="1" applyBorder="1" applyProtection="1">
      <protection locked="0"/>
    </xf>
    <xf numFmtId="0" fontId="0" fillId="0" borderId="26" xfId="0" applyFill="1" applyBorder="1" applyProtection="1">
      <protection locked="0"/>
    </xf>
    <xf numFmtId="0" fontId="0" fillId="0" borderId="44" xfId="0" applyFill="1" applyBorder="1" applyProtection="1">
      <protection locked="0"/>
    </xf>
    <xf numFmtId="177" fontId="6" fillId="11" borderId="0" xfId="52" applyNumberFormat="1" applyFont="1" applyFill="1" applyProtection="1">
      <protection locked="0"/>
    </xf>
    <xf numFmtId="9" fontId="0" fillId="0" borderId="0" xfId="0" applyNumberFormat="1" applyFill="1" applyBorder="1" applyProtection="1">
      <protection locked="0"/>
    </xf>
    <xf numFmtId="165" fontId="0" fillId="0" borderId="40" xfId="52" applyFont="1" applyFill="1" applyBorder="1" applyProtection="1">
      <protection locked="0"/>
    </xf>
    <xf numFmtId="165" fontId="0" fillId="0" borderId="0" xfId="0" applyNumberFormat="1" applyFill="1" applyBorder="1" applyProtection="1">
      <protection locked="0"/>
    </xf>
    <xf numFmtId="0" fontId="16" fillId="0" borderId="0" xfId="52" applyNumberFormat="1" applyFont="1" applyFill="1" applyBorder="1" applyProtection="1">
      <protection locked="0"/>
    </xf>
    <xf numFmtId="0" fontId="60" fillId="23" borderId="0" xfId="53" applyFont="1" applyFill="1" applyBorder="1" applyProtection="1">
      <protection locked="0"/>
    </xf>
    <xf numFmtId="0" fontId="60" fillId="0" borderId="0" xfId="53" applyFont="1" applyFill="1" applyBorder="1" applyProtection="1">
      <protection locked="0"/>
    </xf>
    <xf numFmtId="0" fontId="0" fillId="0" borderId="46" xfId="0" applyFill="1" applyBorder="1" applyProtection="1">
      <protection locked="0"/>
    </xf>
    <xf numFmtId="0" fontId="0" fillId="0" borderId="46"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top"/>
      <protection locked="0"/>
    </xf>
    <xf numFmtId="0" fontId="0" fillId="0" borderId="0" xfId="0" applyAlignment="1" applyProtection="1">
      <alignment horizontal="center" vertical="top"/>
      <protection locked="0"/>
    </xf>
    <xf numFmtId="177" fontId="0" fillId="0" borderId="46" xfId="52" applyNumberFormat="1" applyFont="1" applyFill="1" applyBorder="1" applyProtection="1">
      <protection locked="0"/>
    </xf>
    <xf numFmtId="177" fontId="0" fillId="0" borderId="36" xfId="52" applyNumberFormat="1" applyFont="1" applyFill="1" applyBorder="1" applyProtection="1">
      <protection locked="0"/>
    </xf>
    <xf numFmtId="0" fontId="0" fillId="0" borderId="48" xfId="0" applyFill="1" applyBorder="1" applyProtection="1">
      <protection locked="0"/>
    </xf>
    <xf numFmtId="0" fontId="0" fillId="0" borderId="47" xfId="0" applyFill="1" applyBorder="1" applyProtection="1">
      <protection locked="0"/>
    </xf>
    <xf numFmtId="9" fontId="0" fillId="0" borderId="47" xfId="51" applyFont="1" applyFill="1" applyBorder="1" applyProtection="1">
      <protection locked="0"/>
    </xf>
    <xf numFmtId="0" fontId="16" fillId="0" borderId="34" xfId="53" applyFont="1" applyFill="1" applyBorder="1" applyProtection="1">
      <protection locked="0"/>
    </xf>
    <xf numFmtId="0" fontId="0" fillId="0" borderId="45" xfId="0" applyFill="1" applyBorder="1" applyProtection="1">
      <protection locked="0"/>
    </xf>
    <xf numFmtId="9" fontId="0" fillId="0" borderId="45" xfId="51" applyFont="1" applyFill="1" applyBorder="1" applyProtection="1">
      <protection locked="0"/>
    </xf>
    <xf numFmtId="0" fontId="0" fillId="0" borderId="0" xfId="0" applyFill="1" applyProtection="1">
      <protection locked="0"/>
    </xf>
    <xf numFmtId="0" fontId="16" fillId="15" borderId="0" xfId="53" applyFont="1" applyFill="1" applyBorder="1" applyProtection="1">
      <protection locked="0"/>
    </xf>
    <xf numFmtId="0" fontId="16" fillId="0" borderId="0" xfId="53" applyFont="1" applyFill="1" applyBorder="1" applyProtection="1">
      <protection locked="0"/>
    </xf>
    <xf numFmtId="0" fontId="52" fillId="17" borderId="0" xfId="152" applyFont="1" applyBorder="1" applyProtection="1">
      <protection locked="0"/>
    </xf>
    <xf numFmtId="0" fontId="51" fillId="17" borderId="0" xfId="152" applyFont="1" applyBorder="1" applyProtection="1">
      <protection locked="0"/>
    </xf>
    <xf numFmtId="0" fontId="52" fillId="0" borderId="0" xfId="152" applyFont="1" applyFill="1" applyBorder="1" applyProtection="1">
      <protection locked="0"/>
    </xf>
    <xf numFmtId="0" fontId="6" fillId="0" borderId="0" xfId="0" applyFont="1" applyFill="1" applyProtection="1">
      <protection locked="0"/>
    </xf>
    <xf numFmtId="0" fontId="6" fillId="0" borderId="0" xfId="0" applyFont="1" applyProtection="1">
      <protection locked="0"/>
    </xf>
    <xf numFmtId="168" fontId="51" fillId="17" borderId="0" xfId="152" applyNumberFormat="1" applyFont="1" applyBorder="1" applyProtection="1">
      <protection locked="0"/>
    </xf>
    <xf numFmtId="0" fontId="51" fillId="0" borderId="0" xfId="152" applyFont="1" applyFill="1" applyBorder="1" applyProtection="1">
      <protection locked="0"/>
    </xf>
    <xf numFmtId="9" fontId="51" fillId="17" borderId="0" xfId="51" applyFont="1" applyFill="1" applyBorder="1" applyProtection="1">
      <protection locked="0"/>
    </xf>
    <xf numFmtId="0" fontId="53" fillId="17" borderId="0" xfId="152" applyFont="1" applyBorder="1" applyProtection="1">
      <protection locked="0"/>
    </xf>
    <xf numFmtId="9" fontId="51" fillId="17" borderId="0" xfId="152" applyNumberFormat="1" applyFont="1" applyBorder="1" applyProtection="1">
      <protection locked="0"/>
    </xf>
    <xf numFmtId="0" fontId="65" fillId="17" borderId="0" xfId="152" applyFont="1" applyBorder="1" applyProtection="1">
      <protection locked="0"/>
    </xf>
    <xf numFmtId="0" fontId="61" fillId="17" borderId="0" xfId="152" applyFont="1" applyBorder="1" applyProtection="1">
      <protection locked="0"/>
    </xf>
    <xf numFmtId="3" fontId="29" fillId="15" borderId="7" xfId="0" applyNumberFormat="1" applyFont="1" applyFill="1" applyBorder="1" applyAlignment="1" applyProtection="1">
      <alignment horizontal="center" vertical="center" wrapText="1"/>
      <protection locked="0"/>
    </xf>
    <xf numFmtId="177" fontId="16" fillId="0" borderId="7" xfId="52" applyNumberFormat="1" applyFont="1" applyFill="1" applyBorder="1" applyAlignment="1" applyProtection="1">
      <alignment vertical="center"/>
      <protection locked="0"/>
    </xf>
    <xf numFmtId="177" fontId="30" fillId="19" borderId="7" xfId="154" applyNumberFormat="1" applyBorder="1" applyAlignment="1" applyProtection="1">
      <alignment vertical="center"/>
      <protection locked="0"/>
    </xf>
    <xf numFmtId="165" fontId="16" fillId="0" borderId="7" xfId="52" applyNumberFormat="1" applyFont="1" applyFill="1" applyBorder="1" applyAlignment="1" applyProtection="1">
      <alignment vertical="center"/>
      <protection locked="0"/>
    </xf>
    <xf numFmtId="9" fontId="0" fillId="0" borderId="0" xfId="51" applyFont="1" applyFill="1" applyProtection="1">
      <protection locked="0"/>
    </xf>
    <xf numFmtId="177" fontId="16" fillId="0" borderId="7" xfId="52" applyNumberFormat="1" applyFont="1" applyFill="1" applyBorder="1" applyAlignment="1" applyProtection="1">
      <alignment horizontal="right" vertical="center"/>
      <protection locked="0"/>
    </xf>
    <xf numFmtId="9" fontId="16" fillId="0" borderId="7" xfId="51" applyFont="1" applyFill="1" applyBorder="1" applyAlignment="1" applyProtection="1">
      <alignment vertical="center"/>
      <protection locked="0"/>
    </xf>
    <xf numFmtId="177" fontId="16" fillId="0" borderId="0" xfId="52" applyNumberFormat="1" applyFont="1" applyFill="1" applyBorder="1" applyAlignment="1" applyProtection="1">
      <alignment vertical="center"/>
      <protection locked="0"/>
    </xf>
    <xf numFmtId="0" fontId="29" fillId="15" borderId="0" xfId="53" applyFont="1" applyFill="1" applyBorder="1" applyProtection="1">
      <protection locked="0"/>
    </xf>
    <xf numFmtId="0" fontId="51" fillId="17" borderId="36" xfId="152" applyFont="1" applyBorder="1" applyProtection="1">
      <protection locked="0"/>
    </xf>
    <xf numFmtId="0" fontId="51" fillId="17" borderId="37" xfId="152" applyFont="1" applyBorder="1" applyProtection="1">
      <protection locked="0"/>
    </xf>
    <xf numFmtId="0" fontId="51" fillId="17" borderId="32" xfId="152" applyFont="1" applyBorder="1" applyProtection="1">
      <protection locked="0"/>
    </xf>
    <xf numFmtId="0" fontId="51" fillId="17" borderId="33" xfId="152" applyFont="1" applyBorder="1" applyProtection="1">
      <protection locked="0"/>
    </xf>
    <xf numFmtId="0" fontId="30" fillId="19" borderId="32" xfId="154" applyBorder="1" applyProtection="1">
      <protection locked="0"/>
    </xf>
    <xf numFmtId="0" fontId="30" fillId="19" borderId="33" xfId="154" applyBorder="1" applyProtection="1">
      <protection locked="0"/>
    </xf>
    <xf numFmtId="9" fontId="51" fillId="17" borderId="32" xfId="51" applyFont="1" applyFill="1" applyBorder="1" applyProtection="1">
      <protection locked="0"/>
    </xf>
    <xf numFmtId="9" fontId="51" fillId="17" borderId="33" xfId="51" applyFont="1" applyFill="1" applyBorder="1" applyProtection="1">
      <protection locked="0"/>
    </xf>
    <xf numFmtId="1" fontId="51" fillId="17" borderId="33" xfId="152" applyNumberFormat="1" applyFont="1" applyBorder="1" applyProtection="1">
      <protection locked="0"/>
    </xf>
    <xf numFmtId="0" fontId="75" fillId="17" borderId="0" xfId="152" applyFont="1" applyBorder="1" applyAlignment="1" applyProtection="1">
      <alignment horizontal="right"/>
      <protection locked="0"/>
    </xf>
    <xf numFmtId="0" fontId="75" fillId="17" borderId="0" xfId="152" applyFont="1" applyBorder="1" applyProtection="1">
      <protection locked="0"/>
    </xf>
    <xf numFmtId="9" fontId="75" fillId="17" borderId="32" xfId="51" applyNumberFormat="1" applyFont="1" applyFill="1" applyBorder="1" applyProtection="1">
      <protection locked="0"/>
    </xf>
    <xf numFmtId="9" fontId="75" fillId="17" borderId="33" xfId="51" applyNumberFormat="1" applyFont="1" applyFill="1" applyBorder="1" applyProtection="1">
      <protection locked="0"/>
    </xf>
    <xf numFmtId="177" fontId="75" fillId="17" borderId="32" xfId="52" applyNumberFormat="1" applyFont="1" applyFill="1" applyBorder="1" applyProtection="1">
      <protection locked="0"/>
    </xf>
    <xf numFmtId="177" fontId="75" fillId="17" borderId="33" xfId="52" applyNumberFormat="1" applyFont="1" applyFill="1" applyBorder="1" applyProtection="1">
      <protection locked="0"/>
    </xf>
    <xf numFmtId="9" fontId="51" fillId="17" borderId="34" xfId="152" applyNumberFormat="1" applyFont="1" applyBorder="1" applyProtection="1">
      <protection locked="0"/>
    </xf>
    <xf numFmtId="9" fontId="51" fillId="17" borderId="35" xfId="51" applyFont="1" applyFill="1" applyBorder="1" applyProtection="1">
      <protection locked="0"/>
    </xf>
    <xf numFmtId="179" fontId="51" fillId="17" borderId="0" xfId="152" applyNumberFormat="1" applyFont="1" applyBorder="1" applyProtection="1">
      <protection locked="0"/>
    </xf>
    <xf numFmtId="165" fontId="51" fillId="17" borderId="0" xfId="52" applyFont="1" applyFill="1" applyBorder="1" applyProtection="1">
      <protection locked="0"/>
    </xf>
    <xf numFmtId="165" fontId="0" fillId="0" borderId="0" xfId="0" applyNumberFormat="1" applyFill="1" applyProtection="1">
      <protection locked="0"/>
    </xf>
    <xf numFmtId="177" fontId="16" fillId="0" borderId="16" xfId="52" applyNumberFormat="1" applyFont="1" applyFill="1" applyBorder="1" applyAlignment="1" applyProtection="1">
      <alignment vertical="center"/>
      <protection locked="0"/>
    </xf>
    <xf numFmtId="177" fontId="16" fillId="0" borderId="6" xfId="52" applyNumberFormat="1" applyFont="1" applyFill="1" applyBorder="1" applyAlignment="1" applyProtection="1">
      <alignment vertical="center"/>
      <protection locked="0"/>
    </xf>
    <xf numFmtId="177" fontId="16" fillId="0" borderId="17" xfId="52" applyNumberFormat="1" applyFont="1" applyFill="1" applyBorder="1" applyAlignment="1" applyProtection="1">
      <alignment vertical="center"/>
      <protection locked="0"/>
    </xf>
    <xf numFmtId="177" fontId="5" fillId="0" borderId="0" xfId="52" applyNumberFormat="1" applyFont="1" applyFill="1" applyBorder="1" applyAlignment="1" applyProtection="1">
      <alignment vertical="center"/>
      <protection locked="0"/>
    </xf>
    <xf numFmtId="9" fontId="0" fillId="0" borderId="7" xfId="51" applyFont="1" applyBorder="1" applyProtection="1">
      <protection locked="0"/>
    </xf>
    <xf numFmtId="0" fontId="6" fillId="24" borderId="3" xfId="0" applyFont="1" applyFill="1" applyBorder="1" applyProtection="1">
      <protection locked="0"/>
    </xf>
    <xf numFmtId="175" fontId="30" fillId="19" borderId="7" xfId="154" applyNumberFormat="1" applyBorder="1" applyAlignment="1" applyProtection="1">
      <alignment horizontal="center"/>
      <protection locked="0"/>
    </xf>
    <xf numFmtId="0" fontId="64" fillId="24" borderId="5" xfId="0" applyFont="1" applyFill="1" applyBorder="1" applyProtection="1">
      <protection locked="0"/>
    </xf>
    <xf numFmtId="0" fontId="72" fillId="0" borderId="0" xfId="53" applyFont="1" applyFill="1" applyBorder="1" applyProtection="1">
      <protection locked="0"/>
    </xf>
    <xf numFmtId="0" fontId="5" fillId="0" borderId="0" xfId="0" applyFont="1" applyProtection="1">
      <protection locked="0"/>
    </xf>
    <xf numFmtId="0" fontId="5" fillId="0" borderId="0" xfId="0" applyFont="1" applyFill="1" applyBorder="1" applyProtection="1">
      <protection locked="0"/>
    </xf>
    <xf numFmtId="0" fontId="0" fillId="0" borderId="40" xfId="0" applyFont="1" applyFill="1" applyBorder="1" applyAlignment="1" applyProtection="1">
      <protection locked="0"/>
    </xf>
    <xf numFmtId="0" fontId="16" fillId="0" borderId="40" xfId="0" applyFont="1" applyFill="1" applyBorder="1" applyAlignment="1" applyProtection="1">
      <alignment wrapText="1"/>
      <protection locked="0"/>
    </xf>
    <xf numFmtId="165" fontId="16" fillId="0" borderId="0" xfId="0" applyNumberFormat="1" applyFont="1" applyFill="1" applyBorder="1" applyProtection="1">
      <protection locked="0"/>
    </xf>
    <xf numFmtId="0" fontId="36" fillId="0" borderId="40" xfId="151" applyBorder="1" applyAlignment="1" applyProtection="1">
      <protection locked="0"/>
    </xf>
    <xf numFmtId="0" fontId="32" fillId="0" borderId="0" xfId="0" applyFont="1" applyFill="1" applyProtection="1">
      <protection locked="0"/>
    </xf>
    <xf numFmtId="165" fontId="16" fillId="0" borderId="0" xfId="52" applyNumberFormat="1" applyFont="1" applyFill="1" applyBorder="1" applyProtection="1">
      <protection locked="0"/>
    </xf>
    <xf numFmtId="177" fontId="16" fillId="0" borderId="0" xfId="0" applyNumberFormat="1" applyFont="1" applyFill="1" applyBorder="1" applyProtection="1">
      <protection locked="0"/>
    </xf>
    <xf numFmtId="165" fontId="0" fillId="0" borderId="0" xfId="52" applyNumberFormat="1" applyFont="1" applyFill="1" applyBorder="1" applyProtection="1">
      <protection locked="0"/>
    </xf>
    <xf numFmtId="177" fontId="0" fillId="0" borderId="0" xfId="52" applyNumberFormat="1" applyFont="1" applyProtection="1">
      <protection locked="0"/>
    </xf>
    <xf numFmtId="0" fontId="0" fillId="0" borderId="0" xfId="52" applyNumberFormat="1" applyFont="1" applyFill="1" applyBorder="1" applyProtection="1">
      <protection locked="0"/>
    </xf>
    <xf numFmtId="0" fontId="0" fillId="0" borderId="0" xfId="0" applyFill="1" applyAlignment="1" applyProtection="1">
      <alignment horizontal="center" vertical="top"/>
      <protection locked="0"/>
    </xf>
    <xf numFmtId="1" fontId="68" fillId="0" borderId="0" xfId="0" applyNumberFormat="1" applyFont="1" applyProtection="1">
      <protection locked="0"/>
    </xf>
    <xf numFmtId="177" fontId="0" fillId="0" borderId="0" xfId="0" applyNumberFormat="1" applyFill="1" applyProtection="1">
      <protection locked="0"/>
    </xf>
    <xf numFmtId="165" fontId="29" fillId="0" borderId="0" xfId="53" applyNumberFormat="1" applyFont="1" applyFill="1" applyBorder="1" applyProtection="1">
      <protection locked="0"/>
    </xf>
    <xf numFmtId="176" fontId="69" fillId="19" borderId="33" xfId="51" applyNumberFormat="1" applyFont="1" applyFill="1" applyBorder="1" applyProtection="1">
      <protection locked="0"/>
    </xf>
    <xf numFmtId="9" fontId="51" fillId="17" borderId="32" xfId="152" applyNumberFormat="1" applyFont="1" applyBorder="1" applyProtection="1">
      <protection locked="0"/>
    </xf>
    <xf numFmtId="9" fontId="51" fillId="17" borderId="33" xfId="152" applyNumberFormat="1" applyFont="1" applyBorder="1" applyProtection="1">
      <protection locked="0"/>
    </xf>
    <xf numFmtId="9" fontId="16" fillId="0" borderId="0" xfId="51" applyFont="1" applyFill="1" applyBorder="1" applyAlignment="1" applyProtection="1">
      <alignment vertical="center"/>
      <protection locked="0"/>
    </xf>
    <xf numFmtId="0" fontId="29" fillId="0" borderId="42" xfId="153" applyFont="1" applyFill="1" applyBorder="1" applyProtection="1">
      <protection locked="0"/>
    </xf>
    <xf numFmtId="177" fontId="6" fillId="0" borderId="0" xfId="52" applyNumberFormat="1" applyFont="1" applyFill="1" applyBorder="1" applyProtection="1">
      <protection locked="0"/>
    </xf>
    <xf numFmtId="9" fontId="6" fillId="0" borderId="0" xfId="51" applyFont="1" applyFill="1" applyBorder="1" applyProtection="1">
      <protection locked="0"/>
    </xf>
    <xf numFmtId="3" fontId="4" fillId="0" borderId="66" xfId="51" applyNumberFormat="1" applyFont="1" applyFill="1" applyBorder="1" applyProtection="1">
      <protection locked="0"/>
    </xf>
    <xf numFmtId="0" fontId="16" fillId="0" borderId="40" xfId="0" applyFont="1" applyFill="1" applyBorder="1" applyAlignment="1" applyProtection="1">
      <alignment vertical="top"/>
      <protection locked="0"/>
    </xf>
    <xf numFmtId="0" fontId="16" fillId="0" borderId="40" xfId="0" quotePrefix="1" applyFont="1" applyFill="1" applyBorder="1" applyAlignment="1" applyProtection="1">
      <alignment horizontal="center" vertical="center"/>
      <protection locked="0"/>
    </xf>
    <xf numFmtId="0" fontId="16" fillId="0" borderId="51" xfId="0" applyFont="1" applyFill="1" applyBorder="1" applyProtection="1">
      <protection locked="0"/>
    </xf>
    <xf numFmtId="0" fontId="16" fillId="0" borderId="44" xfId="0" applyFont="1" applyFill="1" applyBorder="1" applyProtection="1">
      <protection locked="0"/>
    </xf>
    <xf numFmtId="0" fontId="0" fillId="0" borderId="46" xfId="0" applyFill="1" applyBorder="1" applyAlignment="1" applyProtection="1">
      <alignment horizontal="center" vertical="top"/>
      <protection locked="0"/>
    </xf>
    <xf numFmtId="0" fontId="0" fillId="0" borderId="46" xfId="0"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177" fontId="0" fillId="0" borderId="32" xfId="52" applyNumberFormat="1" applyFont="1" applyFill="1" applyBorder="1" applyProtection="1">
      <protection locked="0"/>
    </xf>
    <xf numFmtId="9" fontId="0" fillId="0" borderId="32" xfId="51" applyFont="1" applyFill="1" applyBorder="1" applyProtection="1">
      <protection locked="0"/>
    </xf>
    <xf numFmtId="3" fontId="30" fillId="19" borderId="32" xfId="154" applyNumberFormat="1" applyBorder="1" applyProtection="1">
      <protection locked="0"/>
    </xf>
    <xf numFmtId="3" fontId="30" fillId="19" borderId="0" xfId="154" applyNumberFormat="1" applyBorder="1" applyProtection="1">
      <protection locked="0"/>
    </xf>
    <xf numFmtId="3" fontId="51" fillId="17" borderId="32" xfId="152" applyNumberFormat="1" applyFont="1" applyBorder="1" applyProtection="1">
      <protection locked="0"/>
    </xf>
    <xf numFmtId="3" fontId="51" fillId="17" borderId="33" xfId="152" applyNumberFormat="1" applyFont="1" applyBorder="1" applyProtection="1">
      <protection locked="0"/>
    </xf>
    <xf numFmtId="0" fontId="51" fillId="17" borderId="0" xfId="152" applyFont="1" applyBorder="1" applyAlignment="1" applyProtection="1">
      <alignment horizontal="right"/>
      <protection locked="0"/>
    </xf>
    <xf numFmtId="9" fontId="51" fillId="17" borderId="32" xfId="51" applyNumberFormat="1" applyFont="1" applyFill="1" applyBorder="1" applyProtection="1">
      <protection locked="0"/>
    </xf>
    <xf numFmtId="9" fontId="51" fillId="17" borderId="33" xfId="51" applyNumberFormat="1" applyFont="1" applyFill="1" applyBorder="1" applyProtection="1">
      <protection locked="0"/>
    </xf>
    <xf numFmtId="177" fontId="51" fillId="17" borderId="32" xfId="52" applyNumberFormat="1" applyFont="1" applyFill="1" applyBorder="1" applyProtection="1">
      <protection locked="0"/>
    </xf>
    <xf numFmtId="177" fontId="51" fillId="17" borderId="33" xfId="52" applyNumberFormat="1" applyFont="1" applyFill="1" applyBorder="1" applyProtection="1">
      <protection locked="0"/>
    </xf>
    <xf numFmtId="0" fontId="6" fillId="10" borderId="7" xfId="0" applyFont="1" applyFill="1" applyBorder="1" applyProtection="1">
      <protection locked="0"/>
    </xf>
    <xf numFmtId="0" fontId="0" fillId="0" borderId="0" xfId="0" applyNumberFormat="1" applyFill="1" applyBorder="1" applyProtection="1">
      <protection locked="0"/>
    </xf>
    <xf numFmtId="0" fontId="85" fillId="0" borderId="0" xfId="153" applyNumberFormat="1" applyFont="1" applyFill="1" applyBorder="1"/>
    <xf numFmtId="0" fontId="16" fillId="0" borderId="0" xfId="52" applyNumberFormat="1" applyFont="1" applyFill="1" applyBorder="1"/>
    <xf numFmtId="0" fontId="6" fillId="0" borderId="0" xfId="0" applyFont="1" applyAlignment="1">
      <alignment horizontal="right"/>
    </xf>
    <xf numFmtId="14" fontId="0" fillId="0" borderId="0" xfId="0" applyNumberFormat="1"/>
    <xf numFmtId="171" fontId="36" fillId="0" borderId="0" xfId="151" quotePrefix="1" applyNumberFormat="1" applyAlignment="1" applyProtection="1"/>
    <xf numFmtId="0" fontId="0" fillId="0" borderId="12"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20" xfId="0" applyNumberFormat="1" applyBorder="1" applyAlignment="1">
      <alignment horizontal="left" vertical="top" wrapText="1"/>
    </xf>
    <xf numFmtId="0" fontId="40" fillId="9" borderId="10" xfId="0" applyNumberFormat="1" applyFont="1" applyFill="1" applyBorder="1" applyAlignment="1">
      <alignment horizontal="left" vertical="center" wrapText="1"/>
    </xf>
    <xf numFmtId="0" fontId="40" fillId="9" borderId="21" xfId="0" applyNumberFormat="1" applyFont="1" applyFill="1" applyBorder="1" applyAlignment="1">
      <alignment horizontal="left" vertical="center" wrapText="1"/>
    </xf>
    <xf numFmtId="0" fontId="46" fillId="9" borderId="22" xfId="0" applyFont="1" applyFill="1" applyBorder="1" applyAlignment="1">
      <alignment horizontal="center" vertical="center" wrapText="1"/>
    </xf>
    <xf numFmtId="0" fontId="46" fillId="9" borderId="20" xfId="0" applyFont="1" applyFill="1" applyBorder="1" applyAlignment="1">
      <alignment horizontal="center" vertical="center" wrapText="1"/>
    </xf>
    <xf numFmtId="0" fontId="46" fillId="9" borderId="9" xfId="0" applyFont="1" applyFill="1" applyBorder="1" applyAlignment="1">
      <alignment horizontal="center" vertical="center" wrapText="1"/>
    </xf>
    <xf numFmtId="0" fontId="67" fillId="9" borderId="7" xfId="0" applyNumberFormat="1" applyFont="1" applyFill="1" applyBorder="1" applyAlignment="1">
      <alignment horizontal="center" vertical="center" wrapText="1"/>
    </xf>
    <xf numFmtId="2" fontId="6" fillId="15" borderId="64" xfId="0" applyNumberFormat="1" applyFont="1" applyFill="1" applyBorder="1" applyAlignment="1">
      <alignment horizontal="center" vertical="center"/>
    </xf>
    <xf numFmtId="2" fontId="6" fillId="15" borderId="62" xfId="0" applyNumberFormat="1" applyFont="1" applyFill="1" applyBorder="1" applyAlignment="1">
      <alignment horizontal="center" vertical="center"/>
    </xf>
    <xf numFmtId="2" fontId="6" fillId="15" borderId="59" xfId="0" applyNumberFormat="1" applyFont="1" applyFill="1" applyBorder="1" applyAlignment="1">
      <alignment horizontal="center" vertical="center"/>
    </xf>
    <xf numFmtId="2" fontId="6" fillId="15" borderId="61" xfId="0" applyNumberFormat="1" applyFont="1" applyFill="1" applyBorder="1" applyAlignment="1">
      <alignment horizontal="center" vertical="center"/>
    </xf>
    <xf numFmtId="2" fontId="6" fillId="15" borderId="65" xfId="0" applyNumberFormat="1" applyFont="1" applyFill="1" applyBorder="1" applyAlignment="1">
      <alignment horizontal="center" vertical="center"/>
    </xf>
    <xf numFmtId="2" fontId="6" fillId="15" borderId="60" xfId="0" applyNumberFormat="1" applyFont="1" applyFill="1" applyBorder="1" applyAlignment="1">
      <alignment horizontal="center" vertical="center"/>
    </xf>
    <xf numFmtId="2" fontId="67" fillId="9" borderId="7" xfId="0" applyNumberFormat="1" applyFont="1" applyFill="1" applyBorder="1" applyAlignment="1">
      <alignment horizontal="center" vertical="center" wrapText="1"/>
    </xf>
    <xf numFmtId="2" fontId="67" fillId="9" borderId="6" xfId="0" applyNumberFormat="1" applyFont="1" applyFill="1" applyBorder="1" applyAlignment="1">
      <alignment horizontal="center" vertical="top" wrapText="1"/>
    </xf>
    <xf numFmtId="2" fontId="67" fillId="9" borderId="17" xfId="0" applyNumberFormat="1" applyFont="1" applyFill="1" applyBorder="1" applyAlignment="1">
      <alignment horizontal="center" vertical="top" wrapText="1"/>
    </xf>
    <xf numFmtId="2" fontId="28" fillId="9" borderId="58" xfId="0" applyNumberFormat="1" applyFont="1" applyFill="1" applyBorder="1" applyAlignment="1">
      <alignment horizontal="center" vertical="center" wrapText="1"/>
    </xf>
    <xf numFmtId="2" fontId="28" fillId="9" borderId="61" xfId="0" applyNumberFormat="1" applyFont="1" applyFill="1" applyBorder="1" applyAlignment="1">
      <alignment horizontal="center" vertical="center" wrapText="1"/>
    </xf>
    <xf numFmtId="2" fontId="28" fillId="9" borderId="4" xfId="0" applyNumberFormat="1" applyFont="1" applyFill="1" applyBorder="1" applyAlignment="1">
      <alignment horizontal="center" vertical="center" wrapText="1"/>
    </xf>
    <xf numFmtId="2" fontId="28" fillId="9" borderId="5" xfId="0" applyNumberFormat="1" applyFont="1" applyFill="1" applyBorder="1" applyAlignment="1">
      <alignment horizontal="center" vertical="center" wrapText="1"/>
    </xf>
    <xf numFmtId="2" fontId="28" fillId="9" borderId="59" xfId="0" applyNumberFormat="1" applyFont="1" applyFill="1" applyBorder="1" applyAlignment="1">
      <alignment horizontal="center" vertical="center" wrapText="1"/>
    </xf>
    <xf numFmtId="2" fontId="28" fillId="9" borderId="60" xfId="0" applyNumberFormat="1" applyFont="1" applyFill="1" applyBorder="1" applyAlignment="1">
      <alignment horizontal="center" vertical="center" wrapText="1"/>
    </xf>
    <xf numFmtId="0" fontId="29" fillId="15" borderId="7" xfId="0" applyFont="1" applyFill="1" applyBorder="1" applyAlignment="1" applyProtection="1">
      <alignment horizontal="center" vertical="center" wrapText="1"/>
      <protection locked="0"/>
    </xf>
    <xf numFmtId="3" fontId="29" fillId="15" borderId="7" xfId="0" applyNumberFormat="1" applyFont="1" applyFill="1" applyBorder="1" applyAlignment="1" applyProtection="1">
      <alignment horizontal="center" vertical="top" wrapText="1"/>
      <protection locked="0"/>
    </xf>
    <xf numFmtId="3" fontId="29" fillId="15" borderId="7" xfId="0" applyNumberFormat="1" applyFont="1" applyFill="1" applyBorder="1" applyAlignment="1" applyProtection="1">
      <alignment horizontal="center" vertical="center" wrapText="1"/>
      <protection locked="0"/>
    </xf>
    <xf numFmtId="0" fontId="29" fillId="15" borderId="3" xfId="0" applyFont="1" applyFill="1" applyBorder="1" applyAlignment="1" applyProtection="1">
      <alignment horizontal="center" vertical="center" wrapText="1"/>
      <protection locked="0"/>
    </xf>
    <xf numFmtId="0" fontId="29" fillId="15" borderId="4" xfId="0" applyFont="1" applyFill="1" applyBorder="1" applyAlignment="1" applyProtection="1">
      <alignment horizontal="center" vertical="center" wrapText="1"/>
      <protection locked="0"/>
    </xf>
    <xf numFmtId="0" fontId="29" fillId="15" borderId="5" xfId="0" applyFont="1" applyFill="1" applyBorder="1" applyAlignment="1" applyProtection="1">
      <alignment horizontal="center" vertical="center" wrapText="1"/>
      <protection locked="0"/>
    </xf>
    <xf numFmtId="3" fontId="29" fillId="15" borderId="16" xfId="0" applyNumberFormat="1" applyFont="1" applyFill="1" applyBorder="1" applyAlignment="1" applyProtection="1">
      <alignment horizontal="center" vertical="top" wrapText="1"/>
      <protection locked="0"/>
    </xf>
    <xf numFmtId="3" fontId="29" fillId="15" borderId="6" xfId="0" applyNumberFormat="1" applyFont="1" applyFill="1" applyBorder="1" applyAlignment="1" applyProtection="1">
      <alignment horizontal="center" vertical="top" wrapText="1"/>
      <protection locked="0"/>
    </xf>
    <xf numFmtId="3" fontId="29" fillId="15" borderId="17" xfId="0" applyNumberFormat="1" applyFont="1" applyFill="1" applyBorder="1" applyAlignment="1" applyProtection="1">
      <alignment horizontal="center" vertical="top" wrapText="1"/>
      <protection locked="0"/>
    </xf>
    <xf numFmtId="3" fontId="29" fillId="15" borderId="3" xfId="0" applyNumberFormat="1" applyFont="1" applyFill="1" applyBorder="1" applyAlignment="1" applyProtection="1">
      <alignment horizontal="center" vertical="center" wrapText="1"/>
      <protection locked="0"/>
    </xf>
    <xf numFmtId="3" fontId="29" fillId="15" borderId="5" xfId="0" applyNumberFormat="1" applyFont="1" applyFill="1" applyBorder="1" applyAlignment="1" applyProtection="1">
      <alignment horizontal="center" vertical="center" wrapText="1"/>
      <protection locked="0"/>
    </xf>
    <xf numFmtId="3" fontId="29" fillId="15" borderId="16" xfId="0" applyNumberFormat="1" applyFont="1" applyFill="1" applyBorder="1" applyAlignment="1" applyProtection="1">
      <alignment horizontal="center" vertical="center" wrapText="1"/>
      <protection locked="0"/>
    </xf>
    <xf numFmtId="3" fontId="29" fillId="15" borderId="6" xfId="0" applyNumberFormat="1" applyFont="1" applyFill="1" applyBorder="1" applyAlignment="1" applyProtection="1">
      <alignment horizontal="center" vertical="center" wrapText="1"/>
      <protection locked="0"/>
    </xf>
    <xf numFmtId="3" fontId="29" fillId="15" borderId="17" xfId="0" applyNumberFormat="1" applyFont="1" applyFill="1" applyBorder="1" applyAlignment="1" applyProtection="1">
      <alignment horizontal="center" vertical="center" wrapText="1"/>
      <protection locked="0"/>
    </xf>
    <xf numFmtId="0" fontId="28" fillId="27" borderId="4" xfId="0" applyNumberFormat="1" applyFont="1" applyFill="1" applyBorder="1" applyAlignment="1">
      <alignment horizontal="center" vertical="center" wrapText="1"/>
    </xf>
    <xf numFmtId="0" fontId="28" fillId="27" borderId="5" xfId="0" applyNumberFormat="1" applyFont="1" applyFill="1" applyBorder="1" applyAlignment="1">
      <alignment horizontal="center" vertical="center" wrapText="1"/>
    </xf>
    <xf numFmtId="0" fontId="28" fillId="9" borderId="3" xfId="0" applyFont="1" applyFill="1" applyBorder="1" applyAlignment="1">
      <alignment horizontal="center" vertical="center" wrapText="1"/>
    </xf>
    <xf numFmtId="0" fontId="28" fillId="9" borderId="5" xfId="0" applyFont="1" applyFill="1" applyBorder="1" applyAlignment="1">
      <alignment horizontal="center" vertical="center" wrapText="1"/>
    </xf>
    <xf numFmtId="0" fontId="67" fillId="27" borderId="7" xfId="0" applyNumberFormat="1" applyFont="1" applyFill="1" applyBorder="1" applyAlignment="1">
      <alignment horizontal="center" vertical="center" wrapText="1"/>
    </xf>
    <xf numFmtId="0" fontId="67" fillId="27" borderId="80" xfId="0" applyNumberFormat="1" applyFont="1" applyFill="1" applyBorder="1" applyAlignment="1">
      <alignment horizontal="center" vertical="top" wrapText="1"/>
    </xf>
    <xf numFmtId="0" fontId="67" fillId="27" borderId="81" xfId="0" applyNumberFormat="1" applyFont="1" applyFill="1" applyBorder="1" applyAlignment="1">
      <alignment horizontal="center" vertical="top" wrapText="1"/>
    </xf>
    <xf numFmtId="0" fontId="28" fillId="27" borderId="3" xfId="0" applyNumberFormat="1" applyFont="1" applyFill="1" applyBorder="1" applyAlignment="1">
      <alignment horizontal="center" vertical="center" wrapText="1"/>
    </xf>
    <xf numFmtId="0" fontId="28" fillId="27" borderId="16" xfId="0" applyNumberFormat="1" applyFont="1" applyFill="1" applyBorder="1" applyAlignment="1">
      <alignment horizontal="center" vertical="center" wrapText="1"/>
    </xf>
    <xf numFmtId="0" fontId="28" fillId="27" borderId="6" xfId="0" applyNumberFormat="1" applyFont="1" applyFill="1" applyBorder="1" applyAlignment="1">
      <alignment horizontal="center" vertical="center" wrapText="1"/>
    </xf>
    <xf numFmtId="0" fontId="28" fillId="27" borderId="17" xfId="0" applyNumberFormat="1" applyFont="1" applyFill="1" applyBorder="1" applyAlignment="1">
      <alignment horizontal="center" vertical="center" wrapText="1"/>
    </xf>
    <xf numFmtId="0" fontId="67" fillId="9" borderId="7" xfId="0" applyFont="1" applyFill="1" applyBorder="1" applyAlignment="1">
      <alignment horizontal="center" vertical="center" wrapText="1"/>
    </xf>
    <xf numFmtId="0" fontId="67" fillId="9" borderId="80" xfId="0" applyFont="1" applyFill="1" applyBorder="1" applyAlignment="1">
      <alignment horizontal="center" vertical="top" wrapText="1"/>
    </xf>
    <xf numFmtId="0" fontId="67" fillId="9" borderId="81" xfId="0" applyFont="1" applyFill="1" applyBorder="1" applyAlignment="1">
      <alignment horizontal="center" vertical="top" wrapText="1"/>
    </xf>
    <xf numFmtId="0" fontId="28" fillId="9" borderId="82" xfId="0" applyFont="1" applyFill="1" applyBorder="1" applyAlignment="1">
      <alignment horizontal="center" vertical="center" wrapText="1"/>
    </xf>
    <xf numFmtId="0" fontId="28" fillId="9" borderId="83" xfId="0" applyFont="1" applyFill="1" applyBorder="1" applyAlignment="1">
      <alignment horizontal="center" vertical="center" wrapText="1"/>
    </xf>
    <xf numFmtId="0" fontId="28" fillId="9" borderId="84" xfId="0" applyFont="1" applyFill="1" applyBorder="1" applyAlignment="1">
      <alignment horizontal="center" vertical="center" wrapText="1"/>
    </xf>
    <xf numFmtId="0" fontId="16" fillId="0" borderId="23" xfId="0" applyNumberFormat="1" applyFont="1" applyFill="1" applyBorder="1" applyAlignment="1">
      <alignment horizontal="left" vertical="top"/>
    </xf>
    <xf numFmtId="0" fontId="0" fillId="0" borderId="18" xfId="0" applyNumberFormat="1" applyBorder="1" applyAlignment="1"/>
    <xf numFmtId="0" fontId="0" fillId="0" borderId="22" xfId="0" applyNumberFormat="1" applyBorder="1" applyAlignment="1"/>
    <xf numFmtId="0" fontId="0" fillId="0" borderId="57" xfId="0" applyFill="1" applyBorder="1" applyAlignment="1">
      <alignment horizontal="left" vertical="top" wrapText="1"/>
    </xf>
    <xf numFmtId="0" fontId="0" fillId="0" borderId="56" xfId="0" applyFill="1" applyBorder="1" applyAlignment="1">
      <alignment horizontal="left" vertical="top" wrapText="1"/>
    </xf>
    <xf numFmtId="0" fontId="0" fillId="0" borderId="55" xfId="0" applyFill="1" applyBorder="1" applyAlignment="1">
      <alignment horizontal="left" vertical="top" wrapText="1"/>
    </xf>
  </cellXfs>
  <cellStyles count="163">
    <cellStyle name="20% - Accent3" xfId="150" builtinId="38"/>
    <cellStyle name="20% - Accent5" xfId="153" builtinId="46"/>
    <cellStyle name="60% - Accent2" xfId="54" builtinId="36"/>
    <cellStyle name="Accent2" xfId="53" builtinId="33"/>
    <cellStyle name="Accent4" xfId="154" builtinId="41"/>
    <cellStyle name="AggCels_T(2)" xfId="5"/>
    <cellStyle name="Background table" xfId="6"/>
    <cellStyle name="Bad 3" xfId="7"/>
    <cellStyle name="Bron" xfId="8"/>
    <cellStyle name="Calc cel" xfId="9"/>
    <cellStyle name="Calc cel 2" xfId="10"/>
    <cellStyle name="Calc cel 3" xfId="11"/>
    <cellStyle name="Comma 2" xfId="12"/>
    <cellStyle name="Cover" xfId="13"/>
    <cellStyle name="Currency 0,0" xfId="14"/>
    <cellStyle name="Dezimal [0]_Input" xfId="15"/>
    <cellStyle name="Dezimal_Input" xfId="16"/>
    <cellStyle name="Euro" xfId="17"/>
    <cellStyle name="Heading 1 2" xfId="159"/>
    <cellStyle name="Heading 3 2" xfId="158"/>
    <cellStyle name="Heading 4 2" xfId="161"/>
    <cellStyle name="Hyperlink" xfId="151" builtinId="8"/>
    <cellStyle name="Hyperlink 2" xfId="18"/>
    <cellStyle name="Hyperlink 3" xfId="156"/>
    <cellStyle name="Input cel" xfId="19"/>
    <cellStyle name="Input cel 2" xfId="20"/>
    <cellStyle name="Input cel 3" xfId="21"/>
    <cellStyle name="Input cel new" xfId="22"/>
    <cellStyle name="Input cel new 2" xfId="23"/>
    <cellStyle name="Input cel new 3" xfId="24"/>
    <cellStyle name="Komma" xfId="52" builtinId="3"/>
    <cellStyle name="Komma 2" xfId="25"/>
    <cellStyle name="Kop 4" xfId="162" builtinId="19"/>
    <cellStyle name="Menu" xfId="26"/>
    <cellStyle name="Milliers [0]_Oilques" xfId="27"/>
    <cellStyle name="Milliers_Oilques" xfId="28"/>
    <cellStyle name="Monétaire [0]_Oilques" xfId="29"/>
    <cellStyle name="Monétaire_Oilques" xfId="30"/>
    <cellStyle name="Normal 2" xfId="2"/>
    <cellStyle name="Normal 2 2" xfId="31"/>
    <cellStyle name="Normal 2 3" xfId="157"/>
    <cellStyle name="Normal 3" xfId="3"/>
    <cellStyle name="Normal 3 2" xfId="32"/>
    <cellStyle name="Normal 3 2 2" xfId="55"/>
    <cellStyle name="Normal 3 3" xfId="56"/>
    <cellStyle name="Normal 4" xfId="33"/>
    <cellStyle name="Normal 4 2" xfId="57"/>
    <cellStyle name="Normal 5" xfId="34"/>
    <cellStyle name="Normal 5 10" xfId="58"/>
    <cellStyle name="Normal 5 10 2" xfId="59"/>
    <cellStyle name="Normal 5 11" xfId="60"/>
    <cellStyle name="Normal 5 11 2" xfId="61"/>
    <cellStyle name="Normal 5 12" xfId="62"/>
    <cellStyle name="Normal 5 12 2" xfId="63"/>
    <cellStyle name="Normal 5 13" xfId="64"/>
    <cellStyle name="Normal 5 13 2" xfId="65"/>
    <cellStyle name="Normal 5 14" xfId="66"/>
    <cellStyle name="Normal 5 14 2" xfId="67"/>
    <cellStyle name="Normal 5 15" xfId="68"/>
    <cellStyle name="Normal 5 15 2" xfId="69"/>
    <cellStyle name="Normal 5 16" xfId="70"/>
    <cellStyle name="Normal 5 16 2" xfId="71"/>
    <cellStyle name="Normal 5 17" xfId="72"/>
    <cellStyle name="Normal 5 17 2" xfId="73"/>
    <cellStyle name="Normal 5 18" xfId="74"/>
    <cellStyle name="Normal 5 18 2" xfId="75"/>
    <cellStyle name="Normal 5 19" xfId="76"/>
    <cellStyle name="Normal 5 19 2" xfId="77"/>
    <cellStyle name="Normal 5 2" xfId="78"/>
    <cellStyle name="Normal 5 2 2" xfId="79"/>
    <cellStyle name="Normal 5 20" xfId="80"/>
    <cellStyle name="Normal 5 20 2" xfId="81"/>
    <cellStyle name="Normal 5 21" xfId="82"/>
    <cellStyle name="Normal 5 21 2" xfId="83"/>
    <cellStyle name="Normal 5 22" xfId="84"/>
    <cellStyle name="Normal 5 22 2" xfId="85"/>
    <cellStyle name="Normal 5 23" xfId="86"/>
    <cellStyle name="Normal 5 3" xfId="87"/>
    <cellStyle name="Normal 5 3 2" xfId="88"/>
    <cellStyle name="Normal 5 4" xfId="89"/>
    <cellStyle name="Normal 5 4 2" xfId="90"/>
    <cellStyle name="Normal 5 5" xfId="91"/>
    <cellStyle name="Normal 5 5 2" xfId="92"/>
    <cellStyle name="Normal 5 6" xfId="93"/>
    <cellStyle name="Normal 5 6 2" xfId="94"/>
    <cellStyle name="Normal 5 7" xfId="95"/>
    <cellStyle name="Normal 5 7 2" xfId="96"/>
    <cellStyle name="Normal 5 8" xfId="97"/>
    <cellStyle name="Normal 5 8 2" xfId="98"/>
    <cellStyle name="Normal 5 9" xfId="99"/>
    <cellStyle name="Normal 5 9 2" xfId="100"/>
    <cellStyle name="Normal 5_INTERIM BEREKENINGEN Landbouw" xfId="101"/>
    <cellStyle name="Normal 6" xfId="35"/>
    <cellStyle name="Normal 7" xfId="1"/>
    <cellStyle name="Normal 8" xfId="155"/>
    <cellStyle name="Normal GHG Numbers (0.00)" xfId="36"/>
    <cellStyle name="Normal_Sheet1" xfId="4"/>
    <cellStyle name="Note 2" xfId="37"/>
    <cellStyle name="Percent 2" xfId="38"/>
    <cellStyle name="Percent 2 2" xfId="39"/>
    <cellStyle name="Percent 3" xfId="40"/>
    <cellStyle name="Percent 4" xfId="41"/>
    <cellStyle name="Procent" xfId="51" builtinId="5"/>
    <cellStyle name="Procent 2" xfId="42"/>
    <cellStyle name="Standaard" xfId="0" builtinId="0"/>
    <cellStyle name="Standaard 10" xfId="102"/>
    <cellStyle name="Standaard 11" xfId="103"/>
    <cellStyle name="Standaard 12" xfId="104"/>
    <cellStyle name="Standaard 12 2" xfId="105"/>
    <cellStyle name="Standaard 13" xfId="106"/>
    <cellStyle name="Standaard 13 2" xfId="107"/>
    <cellStyle name="Standaard 14" xfId="108"/>
    <cellStyle name="Standaard 14 2" xfId="109"/>
    <cellStyle name="Standaard 15" xfId="110"/>
    <cellStyle name="Standaard 15 2" xfId="111"/>
    <cellStyle name="Standaard 16" xfId="112"/>
    <cellStyle name="Standaard 16 2" xfId="113"/>
    <cellStyle name="Standaard 17" xfId="114"/>
    <cellStyle name="Standaard 17 2" xfId="115"/>
    <cellStyle name="Standaard 18" xfId="116"/>
    <cellStyle name="Standaard 18 2" xfId="117"/>
    <cellStyle name="Standaard 19" xfId="118"/>
    <cellStyle name="Standaard 19 2" xfId="119"/>
    <cellStyle name="Standaard 2" xfId="120"/>
    <cellStyle name="Standaard 2 2" xfId="121"/>
    <cellStyle name="Standaard 2 3" xfId="122"/>
    <cellStyle name="Standaard 2 4" xfId="123"/>
    <cellStyle name="Standaard 20" xfId="124"/>
    <cellStyle name="Standaard 20 2" xfId="125"/>
    <cellStyle name="Standaard 21" xfId="126"/>
    <cellStyle name="Standaard 21 2" xfId="127"/>
    <cellStyle name="Standaard 22" xfId="128"/>
    <cellStyle name="Standaard 22 2" xfId="129"/>
    <cellStyle name="Standaard 23" xfId="130"/>
    <cellStyle name="Standaard 23 2" xfId="131"/>
    <cellStyle name="Standaard 24" xfId="132"/>
    <cellStyle name="Standaard 24 2" xfId="133"/>
    <cellStyle name="Standaard 24 2 2" xfId="134"/>
    <cellStyle name="Standaard 24 3" xfId="135"/>
    <cellStyle name="Standaard 25" xfId="136"/>
    <cellStyle name="Standaard 25 2" xfId="137"/>
    <cellStyle name="Standaard 26" xfId="138"/>
    <cellStyle name="Standaard 26 2" xfId="139"/>
    <cellStyle name="Standaard 3" xfId="140"/>
    <cellStyle name="Standaard 4" xfId="141"/>
    <cellStyle name="Standaard 4 2" xfId="142"/>
    <cellStyle name="Standaard 5" xfId="143"/>
    <cellStyle name="Standaard 6" xfId="144"/>
    <cellStyle name="Standaard 7" xfId="145"/>
    <cellStyle name="Standaard 7 2" xfId="146"/>
    <cellStyle name="Standaard 8" xfId="147"/>
    <cellStyle name="Standaard 8 2" xfId="148"/>
    <cellStyle name="Standaard 9" xfId="149"/>
    <cellStyle name="Standard_Aggregate CO2 balance" xfId="43"/>
    <cellStyle name="Tabeltitel" xfId="44"/>
    <cellStyle name="Titel" xfId="45"/>
    <cellStyle name="Title 2" xfId="160"/>
    <cellStyle name="Uitvoer" xfId="152" builtinId="21"/>
    <cellStyle name="W?rung [0]_Input" xfId="46"/>
    <cellStyle name="W?rung_Input" xfId="47"/>
    <cellStyle name="Währung [0]_Input" xfId="48"/>
    <cellStyle name="Währung_Input" xfId="49"/>
    <cellStyle name="Year" xfId="50"/>
  </cellStyles>
  <dxfs count="0"/>
  <tableStyles count="0" defaultTableStyle="TableStyleMedium2" defaultPivotStyle="PivotStyleLight16"/>
  <colors>
    <mruColors>
      <color rgb="FF33CCCC"/>
      <color rgb="FF0099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nl-BE"/>
              <a:t>Finaal energieverbruik</a:t>
            </a:r>
            <a:r>
              <a:rPr lang="nl-BE" baseline="0"/>
              <a:t> (in MWh)</a:t>
            </a:r>
            <a:endParaRPr lang="nl-BE"/>
          </a:p>
        </c:rich>
      </c:tx>
      <c:layout/>
      <c:overlay val="0"/>
    </c:title>
    <c:autoTitleDeleted val="0"/>
    <c:plotArea>
      <c:layout/>
      <c:barChart>
        <c:barDir val="col"/>
        <c:grouping val="clustered"/>
        <c:varyColors val="0"/>
        <c:ser>
          <c:idx val="0"/>
          <c:order val="0"/>
          <c:tx>
            <c:strRef>
              <c:f>'BAU 2020'!$B$74</c:f>
              <c:strCache>
                <c:ptCount val="1"/>
                <c:pt idx="0">
                  <c:v>2011</c:v>
                </c:pt>
              </c:strCache>
            </c:strRef>
          </c:tx>
          <c:invertIfNegative val="0"/>
          <c:dLbls>
            <c:dLblPos val="outEnd"/>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2020'!$B$75:$B$81</c:f>
              <c:numCache>
                <c:formatCode>0</c:formatCode>
                <c:ptCount val="7"/>
                <c:pt idx="0">
                  <c:v>181494.5961689871</c:v>
                </c:pt>
                <c:pt idx="1">
                  <c:v>71256.148758977317</c:v>
                </c:pt>
                <c:pt idx="2">
                  <c:v>12.993000000000052</c:v>
                </c:pt>
                <c:pt idx="3">
                  <c:v>7542.1655568436936</c:v>
                </c:pt>
                <c:pt idx="4">
                  <c:v>325114.30621839291</c:v>
                </c:pt>
                <c:pt idx="5">
                  <c:v>60091.300944557202</c:v>
                </c:pt>
                <c:pt idx="6">
                  <c:v>10008.76207774511</c:v>
                </c:pt>
              </c:numCache>
            </c:numRef>
          </c:val>
        </c:ser>
        <c:ser>
          <c:idx val="1"/>
          <c:order val="1"/>
          <c:tx>
            <c:strRef>
              <c:f>'BAU 2020'!$C$74</c:f>
              <c:strCache>
                <c:ptCount val="1"/>
                <c:pt idx="0">
                  <c:v>2020</c:v>
                </c:pt>
              </c:strCache>
            </c:strRef>
          </c:tx>
          <c:invertIfNegative val="0"/>
          <c:dLbls>
            <c:dLblPos val="inBase"/>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2020'!$C$75:$C$81</c:f>
              <c:numCache>
                <c:formatCode>0</c:formatCode>
                <c:ptCount val="7"/>
                <c:pt idx="0">
                  <c:v>191946.61548112673</c:v>
                </c:pt>
                <c:pt idx="1">
                  <c:v>68629.932175776077</c:v>
                </c:pt>
                <c:pt idx="2">
                  <c:v>12.993000000000052</c:v>
                </c:pt>
                <c:pt idx="3">
                  <c:v>7542.1655568436936</c:v>
                </c:pt>
                <c:pt idx="4">
                  <c:v>325114.30621839291</c:v>
                </c:pt>
                <c:pt idx="5">
                  <c:v>86821.528610551191</c:v>
                </c:pt>
                <c:pt idx="6">
                  <c:v>10008.76207774511</c:v>
                </c:pt>
              </c:numCache>
            </c:numRef>
          </c:val>
        </c:ser>
        <c:dLbls>
          <c:showLegendKey val="0"/>
          <c:showVal val="0"/>
          <c:showCatName val="0"/>
          <c:showSerName val="0"/>
          <c:showPercent val="0"/>
          <c:showBubbleSize val="0"/>
        </c:dLbls>
        <c:gapWidth val="75"/>
        <c:overlap val="-25"/>
        <c:axId val="141103104"/>
        <c:axId val="141104640"/>
      </c:barChart>
      <c:catAx>
        <c:axId val="141103104"/>
        <c:scaling>
          <c:orientation val="minMax"/>
        </c:scaling>
        <c:delete val="0"/>
        <c:axPos val="b"/>
        <c:majorTickMark val="none"/>
        <c:minorTickMark val="none"/>
        <c:tickLblPos val="nextTo"/>
        <c:crossAx val="141104640"/>
        <c:crosses val="autoZero"/>
        <c:auto val="1"/>
        <c:lblAlgn val="ctr"/>
        <c:lblOffset val="100"/>
        <c:noMultiLvlLbl val="0"/>
      </c:catAx>
      <c:valAx>
        <c:axId val="141104640"/>
        <c:scaling>
          <c:orientation val="minMax"/>
        </c:scaling>
        <c:delete val="0"/>
        <c:axPos val="l"/>
        <c:majorGridlines/>
        <c:numFmt formatCode="0" sourceLinked="1"/>
        <c:majorTickMark val="none"/>
        <c:minorTickMark val="none"/>
        <c:tickLblPos val="nextTo"/>
        <c:spPr>
          <a:ln w="9525">
            <a:noFill/>
          </a:ln>
        </c:spPr>
        <c:crossAx val="141103104"/>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CO2-emissies (in ton)</a:t>
            </a:r>
          </a:p>
        </c:rich>
      </c:tx>
      <c:layout/>
      <c:overlay val="0"/>
    </c:title>
    <c:autoTitleDeleted val="0"/>
    <c:plotArea>
      <c:layout/>
      <c:barChart>
        <c:barDir val="col"/>
        <c:grouping val="clustered"/>
        <c:varyColors val="0"/>
        <c:ser>
          <c:idx val="0"/>
          <c:order val="0"/>
          <c:tx>
            <c:strRef>
              <c:f>'BAU 2020'!$D$74</c:f>
              <c:strCache>
                <c:ptCount val="1"/>
                <c:pt idx="0">
                  <c:v>2011</c:v>
                </c:pt>
              </c:strCache>
            </c:strRef>
          </c:tx>
          <c:invertIfNegative val="0"/>
          <c:dLbls>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2020'!$D$75:$D$81</c:f>
              <c:numCache>
                <c:formatCode>0</c:formatCode>
                <c:ptCount val="7"/>
                <c:pt idx="0">
                  <c:v>36772.490543442946</c:v>
                </c:pt>
                <c:pt idx="1">
                  <c:v>14753.427283440975</c:v>
                </c:pt>
                <c:pt idx="2">
                  <c:v>2.6676142976386559</c:v>
                </c:pt>
                <c:pt idx="3">
                  <c:v>1584.6636723025226</c:v>
                </c:pt>
                <c:pt idx="4">
                  <c:v>65721.103130324787</c:v>
                </c:pt>
                <c:pt idx="5">
                  <c:v>15154.350408613054</c:v>
                </c:pt>
                <c:pt idx="6">
                  <c:v>2075.1477375728577</c:v>
                </c:pt>
              </c:numCache>
            </c:numRef>
          </c:val>
        </c:ser>
        <c:ser>
          <c:idx val="1"/>
          <c:order val="1"/>
          <c:tx>
            <c:strRef>
              <c:f>'BAU 2020'!$E$74</c:f>
              <c:strCache>
                <c:ptCount val="1"/>
                <c:pt idx="0">
                  <c:v>2020</c:v>
                </c:pt>
              </c:strCache>
            </c:strRef>
          </c:tx>
          <c:invertIfNegative val="0"/>
          <c:dLbls>
            <c:dLblPos val="inBase"/>
            <c:showLegendKey val="0"/>
            <c:showVal val="1"/>
            <c:showCatName val="0"/>
            <c:showSerName val="0"/>
            <c:showPercent val="0"/>
            <c:showBubbleSize val="0"/>
            <c:showLeaderLines val="0"/>
          </c:dLbls>
          <c:cat>
            <c:strRef>
              <c:f>'BAU 2020'!$A$75:$A$81</c:f>
              <c:strCache>
                <c:ptCount val="7"/>
                <c:pt idx="0">
                  <c:v>huishoudens</c:v>
                </c:pt>
                <c:pt idx="1">
                  <c:v>tertiair</c:v>
                </c:pt>
                <c:pt idx="2">
                  <c:v>openbare verlichting</c:v>
                </c:pt>
                <c:pt idx="3">
                  <c:v>landbouw</c:v>
                </c:pt>
                <c:pt idx="4">
                  <c:v>industrie</c:v>
                </c:pt>
                <c:pt idx="5">
                  <c:v>transport</c:v>
                </c:pt>
                <c:pt idx="6">
                  <c:v>eigen organisatie</c:v>
                </c:pt>
              </c:strCache>
            </c:strRef>
          </c:cat>
          <c:val>
            <c:numRef>
              <c:f>'BAU 2020'!$E$75:$E$81</c:f>
              <c:numCache>
                <c:formatCode>0</c:formatCode>
                <c:ptCount val="7"/>
                <c:pt idx="0">
                  <c:v>38883.492773949481</c:v>
                </c:pt>
                <c:pt idx="1">
                  <c:v>14173.742994295226</c:v>
                </c:pt>
                <c:pt idx="2">
                  <c:v>2.6676142976386559</c:v>
                </c:pt>
                <c:pt idx="3">
                  <c:v>1584.6636723025226</c:v>
                </c:pt>
                <c:pt idx="4">
                  <c:v>65721.103130324787</c:v>
                </c:pt>
                <c:pt idx="5">
                  <c:v>21629.947175594505</c:v>
                </c:pt>
                <c:pt idx="6">
                  <c:v>2075.1477375728577</c:v>
                </c:pt>
              </c:numCache>
            </c:numRef>
          </c:val>
        </c:ser>
        <c:dLbls>
          <c:showLegendKey val="0"/>
          <c:showVal val="0"/>
          <c:showCatName val="0"/>
          <c:showSerName val="0"/>
          <c:showPercent val="0"/>
          <c:showBubbleSize val="0"/>
        </c:dLbls>
        <c:gapWidth val="75"/>
        <c:overlap val="-25"/>
        <c:axId val="141130752"/>
        <c:axId val="141132544"/>
      </c:barChart>
      <c:catAx>
        <c:axId val="141130752"/>
        <c:scaling>
          <c:orientation val="minMax"/>
        </c:scaling>
        <c:delete val="0"/>
        <c:axPos val="b"/>
        <c:majorTickMark val="none"/>
        <c:minorTickMark val="none"/>
        <c:tickLblPos val="nextTo"/>
        <c:crossAx val="141132544"/>
        <c:crosses val="autoZero"/>
        <c:auto val="1"/>
        <c:lblAlgn val="ctr"/>
        <c:lblOffset val="100"/>
        <c:noMultiLvlLbl val="0"/>
      </c:catAx>
      <c:valAx>
        <c:axId val="141132544"/>
        <c:scaling>
          <c:orientation val="minMax"/>
        </c:scaling>
        <c:delete val="0"/>
        <c:axPos val="l"/>
        <c:majorGridlines/>
        <c:numFmt formatCode="0" sourceLinked="1"/>
        <c:majorTickMark val="none"/>
        <c:minorTickMark val="none"/>
        <c:tickLblPos val="nextTo"/>
        <c:spPr>
          <a:ln w="9525">
            <a:noFill/>
          </a:ln>
        </c:spPr>
        <c:crossAx val="141130752"/>
        <c:crosses val="autoZero"/>
        <c:crossBetween val="between"/>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US">
                <a:solidFill>
                  <a:sysClr val="windowText" lastClr="000000"/>
                </a:solidFill>
              </a:rPr>
              <a:t>CO</a:t>
            </a:r>
            <a:r>
              <a:rPr lang="en-US" baseline="-25000">
                <a:solidFill>
                  <a:sysClr val="windowText" lastClr="000000"/>
                </a:solidFill>
              </a:rPr>
              <a:t>2</a:t>
            </a:r>
            <a:r>
              <a:rPr lang="en-US">
                <a:solidFill>
                  <a:sysClr val="windowText" lastClr="000000"/>
                </a:solidFill>
              </a:rPr>
              <a:t> Emissies Huishoudens</a:t>
            </a:r>
          </a:p>
        </c:rich>
      </c:tx>
      <c:layout/>
      <c:overlay val="0"/>
    </c:title>
    <c:autoTitleDeleted val="0"/>
    <c:plotArea>
      <c:layout/>
      <c:barChart>
        <c:barDir val="col"/>
        <c:grouping val="clustered"/>
        <c:varyColors val="0"/>
        <c:ser>
          <c:idx val="0"/>
          <c:order val="0"/>
          <c:spPr>
            <a:solidFill>
              <a:srgbClr val="009999"/>
            </a:solidFill>
            <a:ln>
              <a:solidFill>
                <a:srgbClr val="009999"/>
              </a:solidFill>
            </a:ln>
          </c:spPr>
          <c:invertIfNegative val="0"/>
          <c:cat>
            <c:strRef>
              <c:f>'MTRG HUISHOUDENS'!$B$100:$H$100</c:f>
              <c:strCache>
                <c:ptCount val="7"/>
                <c:pt idx="0">
                  <c:v>Nulmeting 2011</c:v>
                </c:pt>
                <c:pt idx="1">
                  <c:v>BAU 2020</c:v>
                </c:pt>
                <c:pt idx="2">
                  <c:v>BAU 2020 + Dakisolatie</c:v>
                </c:pt>
                <c:pt idx="3">
                  <c:v>BAU 2020 + Muurisolatie</c:v>
                </c:pt>
                <c:pt idx="4">
                  <c:v>BAU 2020 + Betere beglazing</c:v>
                </c:pt>
                <c:pt idx="5">
                  <c:v>BAU 2020 + Warmtepomp</c:v>
                </c:pt>
                <c:pt idx="6">
                  <c:v>BAU 2020 + Zonneboiler</c:v>
                </c:pt>
              </c:strCache>
            </c:strRef>
          </c:cat>
          <c:val>
            <c:numRef>
              <c:f>'MTRG HUISHOUDENS'!$B$101:$H$101</c:f>
              <c:numCache>
                <c:formatCode>_ * #.##0_ ;_ * \-#.##0_ ;_ * "-"??_ ;_ @_ </c:formatCode>
                <c:ptCount val="7"/>
                <c:pt idx="0">
                  <c:v>36772.490543442946</c:v>
                </c:pt>
                <c:pt idx="1">
                  <c:v>38883.492773949489</c:v>
                </c:pt>
                <c:pt idx="2">
                  <c:v>36737.017684083876</c:v>
                </c:pt>
                <c:pt idx="3">
                  <c:v>36620.845594536906</c:v>
                </c:pt>
                <c:pt idx="4">
                  <c:v>37443.180371797556</c:v>
                </c:pt>
                <c:pt idx="5">
                  <c:v>33636.623632439499</c:v>
                </c:pt>
                <c:pt idx="6">
                  <c:v>38507.609179744599</c:v>
                </c:pt>
              </c:numCache>
            </c:numRef>
          </c:val>
        </c:ser>
        <c:dLbls>
          <c:showLegendKey val="0"/>
          <c:showVal val="0"/>
          <c:showCatName val="0"/>
          <c:showSerName val="0"/>
          <c:showPercent val="0"/>
          <c:showBubbleSize val="0"/>
        </c:dLbls>
        <c:gapWidth val="150"/>
        <c:axId val="142149120"/>
        <c:axId val="142150656"/>
      </c:barChart>
      <c:catAx>
        <c:axId val="142149120"/>
        <c:scaling>
          <c:orientation val="minMax"/>
        </c:scaling>
        <c:delete val="0"/>
        <c:axPos val="b"/>
        <c:majorTickMark val="out"/>
        <c:minorTickMark val="none"/>
        <c:tickLblPos val="nextTo"/>
        <c:crossAx val="142150656"/>
        <c:crossesAt val="0"/>
        <c:auto val="1"/>
        <c:lblAlgn val="ctr"/>
        <c:lblOffset val="100"/>
        <c:noMultiLvlLbl val="0"/>
      </c:catAx>
      <c:valAx>
        <c:axId val="142150656"/>
        <c:scaling>
          <c:orientation val="minMax"/>
          <c:min val="0"/>
        </c:scaling>
        <c:delete val="0"/>
        <c:axPos val="l"/>
        <c:majorGridlines/>
        <c:title>
          <c:tx>
            <c:rich>
              <a:bodyPr rot="-5400000" vert="horz"/>
              <a:lstStyle/>
              <a:p>
                <a:pPr>
                  <a:defRPr/>
                </a:pPr>
                <a:r>
                  <a:rPr lang="en-US"/>
                  <a:t>CO2 emissies [ton]</a:t>
                </a:r>
              </a:p>
            </c:rich>
          </c:tx>
          <c:layout/>
          <c:overlay val="0"/>
        </c:title>
        <c:numFmt formatCode="_ * #.##0_ ;_ * \-#.##0_ ;_ * &quot;-&quot;??_ ;_ @_ " sourceLinked="1"/>
        <c:majorTickMark val="out"/>
        <c:minorTickMark val="none"/>
        <c:tickLblPos val="nextTo"/>
        <c:crossAx val="142149120"/>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078" l="0.70000000000000062" r="0.70000000000000062" t="0.7500000000000007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ysClr val="windowText" lastClr="000000"/>
                </a:solidFill>
              </a:defRPr>
            </a:pPr>
            <a:r>
              <a:rPr lang="en-US">
                <a:solidFill>
                  <a:sysClr val="windowText" lastClr="000000"/>
                </a:solidFill>
              </a:rPr>
              <a:t>CO</a:t>
            </a:r>
            <a:r>
              <a:rPr lang="en-US" baseline="-25000">
                <a:solidFill>
                  <a:sysClr val="windowText" lastClr="000000"/>
                </a:solidFill>
              </a:rPr>
              <a:t>2</a:t>
            </a:r>
            <a:r>
              <a:rPr lang="en-US">
                <a:solidFill>
                  <a:sysClr val="windowText" lastClr="000000"/>
                </a:solidFill>
              </a:rPr>
              <a:t> Emissies Tertiair</a:t>
            </a:r>
          </a:p>
        </c:rich>
      </c:tx>
      <c:layout/>
      <c:overlay val="0"/>
    </c:title>
    <c:autoTitleDeleted val="0"/>
    <c:plotArea>
      <c:layout/>
      <c:barChart>
        <c:barDir val="col"/>
        <c:grouping val="clustered"/>
        <c:varyColors val="0"/>
        <c:ser>
          <c:idx val="0"/>
          <c:order val="0"/>
          <c:tx>
            <c:strRef>
              <c:f>'MTRG TERTIAIR'!$A$54</c:f>
              <c:strCache>
                <c:ptCount val="1"/>
                <c:pt idx="0">
                  <c:v>Emissies CO2 in 2020 [ton] volgens …</c:v>
                </c:pt>
              </c:strCache>
            </c:strRef>
          </c:tx>
          <c:spPr>
            <a:solidFill>
              <a:srgbClr val="009999"/>
            </a:solidFill>
            <a:ln>
              <a:solidFill>
                <a:srgbClr val="009999"/>
              </a:solidFill>
            </a:ln>
          </c:spPr>
          <c:invertIfNegative val="0"/>
          <c:cat>
            <c:strRef>
              <c:f>'MTRG TERTIAIR'!$B$53:$E$53</c:f>
              <c:strCache>
                <c:ptCount val="4"/>
                <c:pt idx="0">
                  <c:v>Nulmeting 2011</c:v>
                </c:pt>
                <c:pt idx="1">
                  <c:v>BAU 2020</c:v>
                </c:pt>
                <c:pt idx="2">
                  <c:v>BAU 2020 + Renovatie</c:v>
                </c:pt>
                <c:pt idx="3">
                  <c:v>BAU 2020 + Warmtepomp</c:v>
                </c:pt>
              </c:strCache>
            </c:strRef>
          </c:cat>
          <c:val>
            <c:numRef>
              <c:f>'MTRG TERTIAIR'!$B$54:$E$54</c:f>
              <c:numCache>
                <c:formatCode>_ * #.##0_ ;_ * \-#.##0_ ;_ * "-"??_ ;_ @_ </c:formatCode>
                <c:ptCount val="4"/>
                <c:pt idx="0">
                  <c:v>14753.427283440975</c:v>
                </c:pt>
                <c:pt idx="1">
                  <c:v>14173.742994295226</c:v>
                </c:pt>
                <c:pt idx="2">
                  <c:v>13750.574726011122</c:v>
                </c:pt>
                <c:pt idx="3">
                  <c:v>13847.03360058318</c:v>
                </c:pt>
              </c:numCache>
            </c:numRef>
          </c:val>
        </c:ser>
        <c:dLbls>
          <c:showLegendKey val="0"/>
          <c:showVal val="0"/>
          <c:showCatName val="0"/>
          <c:showSerName val="0"/>
          <c:showPercent val="0"/>
          <c:showBubbleSize val="0"/>
        </c:dLbls>
        <c:gapWidth val="150"/>
        <c:axId val="140812288"/>
        <c:axId val="140813824"/>
      </c:barChart>
      <c:catAx>
        <c:axId val="140812288"/>
        <c:scaling>
          <c:orientation val="minMax"/>
        </c:scaling>
        <c:delete val="0"/>
        <c:axPos val="b"/>
        <c:majorTickMark val="out"/>
        <c:minorTickMark val="none"/>
        <c:tickLblPos val="nextTo"/>
        <c:crossAx val="140813824"/>
        <c:crosses val="autoZero"/>
        <c:auto val="1"/>
        <c:lblAlgn val="ctr"/>
        <c:lblOffset val="100"/>
        <c:noMultiLvlLbl val="0"/>
      </c:catAx>
      <c:valAx>
        <c:axId val="140813824"/>
        <c:scaling>
          <c:orientation val="minMax"/>
          <c:min val="0"/>
        </c:scaling>
        <c:delete val="0"/>
        <c:axPos val="l"/>
        <c:majorGridlines/>
        <c:title>
          <c:tx>
            <c:rich>
              <a:bodyPr rot="-5400000" vert="horz"/>
              <a:lstStyle/>
              <a:p>
                <a:pPr>
                  <a:defRPr/>
                </a:pPr>
                <a:r>
                  <a:rPr lang="en-US"/>
                  <a:t>CO2 emissies [ton]</a:t>
                </a:r>
              </a:p>
            </c:rich>
          </c:tx>
          <c:layout/>
          <c:overlay val="0"/>
        </c:title>
        <c:numFmt formatCode="_ * #.##0_ ;_ * \-#.##0_ ;_ * &quot;-&quot;??_ ;_ @_ " sourceLinked="1"/>
        <c:majorTickMark val="out"/>
        <c:minorTickMark val="none"/>
        <c:tickLblPos val="nextTo"/>
        <c:crossAx val="140812288"/>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078" l="0.70000000000000062" r="0.70000000000000062" t="0.7500000000000007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transport</a:t>
            </a:r>
          </a:p>
        </c:rich>
      </c:tx>
      <c:layout/>
      <c:overlay val="0"/>
    </c:title>
    <c:autoTitleDeleted val="0"/>
    <c:plotArea>
      <c:layout/>
      <c:barChart>
        <c:barDir val="col"/>
        <c:grouping val="clustered"/>
        <c:varyColors val="0"/>
        <c:ser>
          <c:idx val="0"/>
          <c:order val="0"/>
          <c:spPr>
            <a:solidFill>
              <a:srgbClr val="009999"/>
            </a:solidFill>
          </c:spPr>
          <c:invertIfNegative val="0"/>
          <c:cat>
            <c:strRef>
              <c:f>'MTRG TRANSPORT'!$B$68:$E$68</c:f>
              <c:strCache>
                <c:ptCount val="4"/>
                <c:pt idx="0">
                  <c:v>Nulmeting 2011</c:v>
                </c:pt>
                <c:pt idx="1">
                  <c:v>BAU 2020</c:v>
                </c:pt>
                <c:pt idx="2">
                  <c:v>BAU 2020 + mod.shift</c:v>
                </c:pt>
                <c:pt idx="3">
                  <c:v>BAU 2020 + techn.shift</c:v>
                </c:pt>
              </c:strCache>
            </c:strRef>
          </c:cat>
          <c:val>
            <c:numRef>
              <c:f>'MTRG TRANSPORT'!$B$69:$E$69</c:f>
              <c:numCache>
                <c:formatCode>_ * #.##0_ ;_ * \-#.##0_ ;_ * "-"??_ ;_ @_ </c:formatCode>
                <c:ptCount val="4"/>
                <c:pt idx="0">
                  <c:v>15154.350408613054</c:v>
                </c:pt>
                <c:pt idx="1">
                  <c:v>21629.947175594505</c:v>
                </c:pt>
                <c:pt idx="2">
                  <c:v>20814.180415594506</c:v>
                </c:pt>
                <c:pt idx="3">
                  <c:v>20592.192468264071</c:v>
                </c:pt>
              </c:numCache>
            </c:numRef>
          </c:val>
        </c:ser>
        <c:dLbls>
          <c:showLegendKey val="0"/>
          <c:showVal val="0"/>
          <c:showCatName val="0"/>
          <c:showSerName val="0"/>
          <c:showPercent val="0"/>
          <c:showBubbleSize val="0"/>
        </c:dLbls>
        <c:gapWidth val="150"/>
        <c:axId val="142690176"/>
        <c:axId val="142691712"/>
      </c:barChart>
      <c:catAx>
        <c:axId val="142690176"/>
        <c:scaling>
          <c:orientation val="minMax"/>
        </c:scaling>
        <c:delete val="0"/>
        <c:axPos val="b"/>
        <c:majorTickMark val="out"/>
        <c:minorTickMark val="none"/>
        <c:tickLblPos val="nextTo"/>
        <c:crossAx val="142691712"/>
        <c:crosses val="autoZero"/>
        <c:auto val="1"/>
        <c:lblAlgn val="ctr"/>
        <c:lblOffset val="100"/>
        <c:noMultiLvlLbl val="0"/>
      </c:catAx>
      <c:valAx>
        <c:axId val="142691712"/>
        <c:scaling>
          <c:orientation val="minMax"/>
          <c:min val="0"/>
        </c:scaling>
        <c:delete val="0"/>
        <c:axPos val="l"/>
        <c:majorGridlines/>
        <c:title>
          <c:tx>
            <c:rich>
              <a:bodyPr rot="-5400000" vert="horz"/>
              <a:lstStyle/>
              <a:p>
                <a:pPr>
                  <a:defRPr/>
                </a:pPr>
                <a:r>
                  <a:rPr lang="en-US"/>
                  <a:t>CO2 emissies [ton]</a:t>
                </a:r>
              </a:p>
            </c:rich>
          </c:tx>
          <c:layout/>
          <c:overlay val="0"/>
        </c:title>
        <c:numFmt formatCode="_ * #.##0_ ;_ * \-#.##0_ ;_ * &quot;-&quot;??_ ;_ @_ " sourceLinked="1"/>
        <c:majorTickMark val="out"/>
        <c:minorTickMark val="none"/>
        <c:tickLblPos val="nextTo"/>
        <c:crossAx val="142690176"/>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nl-B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a:t>
            </a:r>
            <a:r>
              <a:rPr lang="en-US" baseline="-25000"/>
              <a:t>2</a:t>
            </a:r>
            <a:r>
              <a:rPr lang="en-US"/>
              <a:t> Emissies Huishoudens</a:t>
            </a:r>
          </a:p>
        </c:rich>
      </c:tx>
      <c:layout/>
      <c:overlay val="0"/>
    </c:title>
    <c:autoTitleDeleted val="0"/>
    <c:plotArea>
      <c:layout/>
      <c:barChart>
        <c:barDir val="col"/>
        <c:grouping val="clustered"/>
        <c:varyColors val="0"/>
        <c:ser>
          <c:idx val="0"/>
          <c:order val="0"/>
          <c:spPr>
            <a:solidFill>
              <a:srgbClr val="009999"/>
            </a:solidFill>
            <a:ln>
              <a:solidFill>
                <a:srgbClr val="009999"/>
              </a:solidFill>
            </a:ln>
          </c:spPr>
          <c:invertIfNegative val="0"/>
          <c:cat>
            <c:strRef>
              <c:f>'MTRG LOKALE ENERGIEPRODUCTIE'!$B$54:$D$54</c:f>
              <c:strCache>
                <c:ptCount val="3"/>
                <c:pt idx="0">
                  <c:v>Nulmeting 2011</c:v>
                </c:pt>
                <c:pt idx="1">
                  <c:v>BAU 2020</c:v>
                </c:pt>
                <c:pt idx="2">
                  <c:v>BAU 2020 + PV</c:v>
                </c:pt>
              </c:strCache>
            </c:strRef>
          </c:cat>
          <c:val>
            <c:numRef>
              <c:f>'MTRG LOKALE ENERGIEPRODUCTIE'!$B$55:$D$55</c:f>
              <c:numCache>
                <c:formatCode>_ * #.##0_ ;_ * \-#.##0_ ;_ * "-"??_ ;_ @_ </c:formatCode>
                <c:ptCount val="3"/>
                <c:pt idx="0">
                  <c:v>36772.490543442946</c:v>
                </c:pt>
                <c:pt idx="1">
                  <c:v>38883.492773949489</c:v>
                </c:pt>
                <c:pt idx="2">
                  <c:v>36898.935560895952</c:v>
                </c:pt>
              </c:numCache>
            </c:numRef>
          </c:val>
        </c:ser>
        <c:dLbls>
          <c:showLegendKey val="0"/>
          <c:showVal val="0"/>
          <c:showCatName val="0"/>
          <c:showSerName val="0"/>
          <c:showPercent val="0"/>
          <c:showBubbleSize val="0"/>
        </c:dLbls>
        <c:gapWidth val="150"/>
        <c:axId val="143239424"/>
        <c:axId val="143241216"/>
      </c:barChart>
      <c:catAx>
        <c:axId val="143239424"/>
        <c:scaling>
          <c:orientation val="minMax"/>
        </c:scaling>
        <c:delete val="0"/>
        <c:axPos val="b"/>
        <c:majorTickMark val="out"/>
        <c:minorTickMark val="none"/>
        <c:tickLblPos val="nextTo"/>
        <c:crossAx val="143241216"/>
        <c:crosses val="autoZero"/>
        <c:auto val="1"/>
        <c:lblAlgn val="ctr"/>
        <c:lblOffset val="100"/>
        <c:noMultiLvlLbl val="0"/>
      </c:catAx>
      <c:valAx>
        <c:axId val="143241216"/>
        <c:scaling>
          <c:orientation val="minMax"/>
          <c:min val="0"/>
        </c:scaling>
        <c:delete val="0"/>
        <c:axPos val="l"/>
        <c:majorGridlines/>
        <c:title>
          <c:tx>
            <c:rich>
              <a:bodyPr rot="-5400000" vert="horz"/>
              <a:lstStyle/>
              <a:p>
                <a:pPr>
                  <a:defRPr/>
                </a:pPr>
                <a:r>
                  <a:rPr lang="en-US"/>
                  <a:t>CO2 emissies [ton]</a:t>
                </a:r>
              </a:p>
            </c:rich>
          </c:tx>
          <c:layout/>
          <c:overlay val="0"/>
        </c:title>
        <c:numFmt formatCode="_ * #.##0_ ;_ * \-#.##0_ ;_ * &quot;-&quot;??_ ;_ @_ " sourceLinked="1"/>
        <c:majorTickMark val="out"/>
        <c:minorTickMark val="none"/>
        <c:tickLblPos val="nextTo"/>
        <c:crossAx val="143239424"/>
        <c:crosses val="autoZero"/>
        <c:crossBetween val="between"/>
      </c:valAx>
    </c:plotArea>
    <c:plotVisOnly val="1"/>
    <c:dispBlanksAs val="gap"/>
    <c:showDLblsOverMax val="0"/>
  </c:chart>
  <c:spPr>
    <a:ln>
      <a:solidFill>
        <a:srgbClr val="009999"/>
      </a:solidFill>
    </a:ln>
  </c:spPr>
  <c:txPr>
    <a:bodyPr/>
    <a:lstStyle/>
    <a:p>
      <a:pPr>
        <a:defRPr sz="1200"/>
      </a:pPr>
      <a:endParaRPr lang="nl-BE"/>
    </a:p>
  </c:txPr>
  <c:printSettings>
    <c:headerFooter/>
    <c:pageMargins b="0.750000000000001" l="0.70000000000000062" r="0.70000000000000062" t="0.75000000000000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editAs="oneCell">
    <xdr:from>
      <xdr:col>2</xdr:col>
      <xdr:colOff>5038725</xdr:colOff>
      <xdr:row>1</xdr:row>
      <xdr:rowOff>38100</xdr:rowOff>
    </xdr:from>
    <xdr:to>
      <xdr:col>2</xdr:col>
      <xdr:colOff>7060036</xdr:colOff>
      <xdr:row>3</xdr:row>
      <xdr:rowOff>162573</xdr:rowOff>
    </xdr:to>
    <xdr:pic>
      <xdr:nvPicPr>
        <xdr:cNvPr id="9" name="Picture 8"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5316200" y="238125"/>
          <a:ext cx="2021311" cy="572148"/>
        </a:xfrm>
        <a:prstGeom prst="rect">
          <a:avLst/>
        </a:prstGeom>
        <a:noFill/>
      </xdr:spPr>
    </xdr:pic>
    <xdr:clientData/>
  </xdr:twoCellAnchor>
  <xdr:twoCellAnchor editAs="oneCell">
    <xdr:from>
      <xdr:col>2</xdr:col>
      <xdr:colOff>7381874</xdr:colOff>
      <xdr:row>1</xdr:row>
      <xdr:rowOff>47625</xdr:rowOff>
    </xdr:from>
    <xdr:to>
      <xdr:col>2</xdr:col>
      <xdr:colOff>8496299</xdr:colOff>
      <xdr:row>3</xdr:row>
      <xdr:rowOff>161925</xdr:rowOff>
    </xdr:to>
    <xdr:pic>
      <xdr:nvPicPr>
        <xdr:cNvPr id="10" name="Picture 9"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7659349" y="247650"/>
          <a:ext cx="1114425" cy="5619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4619625</xdr:colOff>
      <xdr:row>1</xdr:row>
      <xdr:rowOff>104775</xdr:rowOff>
    </xdr:from>
    <xdr:to>
      <xdr:col>2</xdr:col>
      <xdr:colOff>6640936</xdr:colOff>
      <xdr:row>1</xdr:row>
      <xdr:rowOff>676923</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3039725" y="304800"/>
          <a:ext cx="2021311" cy="572148"/>
        </a:xfrm>
        <a:prstGeom prst="rect">
          <a:avLst/>
        </a:prstGeom>
        <a:noFill/>
      </xdr:spPr>
    </xdr:pic>
    <xdr:clientData/>
  </xdr:twoCellAnchor>
  <xdr:twoCellAnchor editAs="oneCell">
    <xdr:from>
      <xdr:col>2</xdr:col>
      <xdr:colOff>6962774</xdr:colOff>
      <xdr:row>1</xdr:row>
      <xdr:rowOff>114300</xdr:rowOff>
    </xdr:from>
    <xdr:to>
      <xdr:col>2</xdr:col>
      <xdr:colOff>8077199</xdr:colOff>
      <xdr:row>1</xdr:row>
      <xdr:rowOff>676275</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382874" y="314325"/>
          <a:ext cx="1114425" cy="56197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180975</xdr:colOff>
          <xdr:row>31</xdr:row>
          <xdr:rowOff>133350</xdr:rowOff>
        </xdr:from>
        <xdr:to>
          <xdr:col>0</xdr:col>
          <xdr:colOff>1743075</xdr:colOff>
          <xdr:row>34</xdr:row>
          <xdr:rowOff>47625</xdr:rowOff>
        </xdr:to>
        <xdr:sp macro="" textlink="">
          <xdr:nvSpPr>
            <xdr:cNvPr id="61441" name="Object 1" hidden="1">
              <a:extLst>
                <a:ext uri="{63B3BB69-23CF-44E3-9099-C40C66FF867C}">
                  <a14:compatExt spid="_x0000_s6144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2</xdr:col>
      <xdr:colOff>2085975</xdr:colOff>
      <xdr:row>0</xdr:row>
      <xdr:rowOff>95250</xdr:rowOff>
    </xdr:from>
    <xdr:to>
      <xdr:col>2</xdr:col>
      <xdr:colOff>4107286</xdr:colOff>
      <xdr:row>0</xdr:row>
      <xdr:rowOff>667398</xdr:rowOff>
    </xdr:to>
    <xdr:pic>
      <xdr:nvPicPr>
        <xdr:cNvPr id="5" name="Picture 4"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2201525" y="95250"/>
          <a:ext cx="2021311" cy="572148"/>
        </a:xfrm>
        <a:prstGeom prst="rect">
          <a:avLst/>
        </a:prstGeom>
        <a:noFill/>
      </xdr:spPr>
    </xdr:pic>
    <xdr:clientData/>
  </xdr:twoCellAnchor>
  <xdr:twoCellAnchor editAs="oneCell">
    <xdr:from>
      <xdr:col>2</xdr:col>
      <xdr:colOff>4429124</xdr:colOff>
      <xdr:row>0</xdr:row>
      <xdr:rowOff>104775</xdr:rowOff>
    </xdr:from>
    <xdr:to>
      <xdr:col>2</xdr:col>
      <xdr:colOff>5543549</xdr:colOff>
      <xdr:row>0</xdr:row>
      <xdr:rowOff>666750</xdr:rowOff>
    </xdr:to>
    <xdr:pic>
      <xdr:nvPicPr>
        <xdr:cNvPr id="6" name="Picture 5"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544674" y="104775"/>
          <a:ext cx="1114425" cy="5619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84</xdr:row>
      <xdr:rowOff>57150</xdr:rowOff>
    </xdr:from>
    <xdr:to>
      <xdr:col>5</xdr:col>
      <xdr:colOff>104775</xdr:colOff>
      <xdr:row>104</xdr:row>
      <xdr:rowOff>171450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361950</xdr:colOff>
      <xdr:row>84</xdr:row>
      <xdr:rowOff>66676</xdr:rowOff>
    </xdr:from>
    <xdr:to>
      <xdr:col>11</xdr:col>
      <xdr:colOff>914399</xdr:colOff>
      <xdr:row>104</xdr:row>
      <xdr:rowOff>180976</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74086</xdr:colOff>
      <xdr:row>78</xdr:row>
      <xdr:rowOff>30692</xdr:rowOff>
    </xdr:from>
    <xdr:to>
      <xdr:col>4</xdr:col>
      <xdr:colOff>920750</xdr:colOff>
      <xdr:row>96</xdr:row>
      <xdr:rowOff>148166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74086</xdr:colOff>
      <xdr:row>31</xdr:row>
      <xdr:rowOff>30692</xdr:rowOff>
    </xdr:from>
    <xdr:to>
      <xdr:col>4</xdr:col>
      <xdr:colOff>920750</xdr:colOff>
      <xdr:row>49</xdr:row>
      <xdr:rowOff>148166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666749</xdr:colOff>
      <xdr:row>45</xdr:row>
      <xdr:rowOff>171450</xdr:rowOff>
    </xdr:from>
    <xdr:to>
      <xdr:col>3</xdr:col>
      <xdr:colOff>685799</xdr:colOff>
      <xdr:row>65</xdr:row>
      <xdr:rowOff>19050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74086</xdr:colOff>
      <xdr:row>32</xdr:row>
      <xdr:rowOff>30692</xdr:rowOff>
    </xdr:from>
    <xdr:to>
      <xdr:col>5</xdr:col>
      <xdr:colOff>158749</xdr:colOff>
      <xdr:row>50</xdr:row>
      <xdr:rowOff>148166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2362200</xdr:colOff>
      <xdr:row>0</xdr:row>
      <xdr:rowOff>47625</xdr:rowOff>
    </xdr:from>
    <xdr:to>
      <xdr:col>2</xdr:col>
      <xdr:colOff>4383511</xdr:colOff>
      <xdr:row>0</xdr:row>
      <xdr:rowOff>619773</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10648950" y="47625"/>
          <a:ext cx="2021311" cy="572148"/>
        </a:xfrm>
        <a:prstGeom prst="rect">
          <a:avLst/>
        </a:prstGeom>
        <a:noFill/>
      </xdr:spPr>
    </xdr:pic>
    <xdr:clientData/>
  </xdr:twoCellAnchor>
  <xdr:twoCellAnchor editAs="oneCell">
    <xdr:from>
      <xdr:col>2</xdr:col>
      <xdr:colOff>4705349</xdr:colOff>
      <xdr:row>0</xdr:row>
      <xdr:rowOff>57150</xdr:rowOff>
    </xdr:from>
    <xdr:to>
      <xdr:col>2</xdr:col>
      <xdr:colOff>5819774</xdr:colOff>
      <xdr:row>0</xdr:row>
      <xdr:rowOff>619125</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92099" y="57150"/>
          <a:ext cx="1114425" cy="56197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1857375</xdr:colOff>
      <xdr:row>0</xdr:row>
      <xdr:rowOff>95250</xdr:rowOff>
    </xdr:from>
    <xdr:to>
      <xdr:col>5</xdr:col>
      <xdr:colOff>49636</xdr:colOff>
      <xdr:row>0</xdr:row>
      <xdr:rowOff>667398</xdr:rowOff>
    </xdr:to>
    <xdr:pic>
      <xdr:nvPicPr>
        <xdr:cNvPr id="3" name="Picture 2" descr="http://channelv.vito.local/Communication/External/PublishingImages/vito_basislogo.jpg"/>
        <xdr:cNvPicPr>
          <a:picLocks noChangeAspect="1" noChangeArrowheads="1"/>
        </xdr:cNvPicPr>
      </xdr:nvPicPr>
      <xdr:blipFill>
        <a:blip xmlns:r="http://schemas.openxmlformats.org/officeDocument/2006/relationships" r:embed="rId1" cstate="print"/>
        <a:srcRect/>
        <a:stretch>
          <a:fillRect/>
        </a:stretch>
      </xdr:blipFill>
      <xdr:spPr bwMode="auto">
        <a:xfrm>
          <a:off x="9782175" y="95250"/>
          <a:ext cx="2021311" cy="572148"/>
        </a:xfrm>
        <a:prstGeom prst="rect">
          <a:avLst/>
        </a:prstGeom>
        <a:noFill/>
      </xdr:spPr>
    </xdr:pic>
    <xdr:clientData/>
  </xdr:twoCellAnchor>
  <xdr:twoCellAnchor editAs="oneCell">
    <xdr:from>
      <xdr:col>5</xdr:col>
      <xdr:colOff>371474</xdr:colOff>
      <xdr:row>0</xdr:row>
      <xdr:rowOff>104775</xdr:rowOff>
    </xdr:from>
    <xdr:to>
      <xdr:col>5</xdr:col>
      <xdr:colOff>1485899</xdr:colOff>
      <xdr:row>0</xdr:row>
      <xdr:rowOff>666750</xdr:rowOff>
    </xdr:to>
    <xdr:pic>
      <xdr:nvPicPr>
        <xdr:cNvPr id="4" name="Picture 3" descr="C:\Users\meynaere\AppData\Local\Microsoft\Windows\Temporary Internet Files\Content.Outlook\SHHOD2UQ\logo_kleur_leeuw.jp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25324" y="104775"/>
          <a:ext cx="1114425" cy="561975"/>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http://statbel.fgov.be/nl/statistieken/cijfers/energie/prijzen/gemid_8/" TargetMode="External"/><Relationship Id="rId6" Type="http://schemas.openxmlformats.org/officeDocument/2006/relationships/image" Target="../media/image4.wmf"/><Relationship Id="rId5" Type="http://schemas.openxmlformats.org/officeDocument/2006/relationships/oleObject" Target="../embeddings/oleObject1.bin"/><Relationship Id="rId4" Type="http://schemas.openxmlformats.org/officeDocument/2006/relationships/vmlDrawing" Target="../drawings/vmlDrawing5.vml"/></Relationships>
</file>

<file path=xl/worksheets/_rels/sheet16.xml.rels><?xml version="1.0" encoding="UTF-8" standalone="yes"?>
<Relationships xmlns="http://schemas.openxmlformats.org/package/2006/relationships"><Relationship Id="rId8" Type="http://schemas.openxmlformats.org/officeDocument/2006/relationships/hyperlink" Target="http://ec.europa.eu/enterprise/policies/sustainable-business/ecodesign/product-groups/index_en.htm" TargetMode="External"/><Relationship Id="rId13" Type="http://schemas.openxmlformats.org/officeDocument/2006/relationships/hyperlink" Target="http://www.milieurapport.be/" TargetMode="External"/><Relationship Id="rId3" Type="http://schemas.openxmlformats.org/officeDocument/2006/relationships/hyperlink" Target="http://www.energiesparen.be/monitoring_evaluatie" TargetMode="External"/><Relationship Id="rId7" Type="http://schemas.openxmlformats.org/officeDocument/2006/relationships/hyperlink" Target="mailto:kristien.aernouts@vito.be" TargetMode="External"/><Relationship Id="rId12" Type="http://schemas.openxmlformats.org/officeDocument/2006/relationships/hyperlink" Target="http://statbel.fgov.be/nl/modules/publications/statistiques/economie/downloads/bouwvergunningen.jsp" TargetMode="External"/><Relationship Id="rId2" Type="http://schemas.openxmlformats.org/officeDocument/2006/relationships/hyperlink" Target="mailto:dana.borremans@mow.vlaanderen.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http://www2.vlaanderen.be/economie/energiesparen/epb/doc/besluithernieuwbareenergie_20122809.pdf" TargetMode="External"/><Relationship Id="rId11" Type="http://schemas.openxmlformats.org/officeDocument/2006/relationships/hyperlink" Target="http://www.vreg.be/hoeveel-kost-1-kwh-elektriciteit-en-aardgas" TargetMode="External"/><Relationship Id="rId5" Type="http://schemas.openxmlformats.org/officeDocument/2006/relationships/hyperlink" Target="http://www2.vlaanderen.be/economie/energiesparen/epb/doc/EPBincijfers-2006-2012.pdf" TargetMode="External"/><Relationship Id="rId15" Type="http://schemas.openxmlformats.org/officeDocument/2006/relationships/printerSettings" Target="../printerSettings/printerSettings13.bin"/><Relationship Id="rId10" Type="http://schemas.openxmlformats.org/officeDocument/2006/relationships/hyperlink" Target="http://www.building-typology.eu/tabulapublications.html" TargetMode="External"/><Relationship Id="rId4" Type="http://schemas.openxmlformats.org/officeDocument/2006/relationships/hyperlink" Target="mailto:kristien.aernouts@vito.be" TargetMode="External"/><Relationship Id="rId9" Type="http://schemas.openxmlformats.org/officeDocument/2006/relationships/hyperlink" Target="http://www4dar.vlaanderen.be/sites/svr/Methoden/bijlagenmethoden/toekomstverkenning/ondersteunende-studie-VMP2013-2020-VITO.pdf" TargetMode="External"/><Relationship Id="rId14" Type="http://schemas.openxmlformats.org/officeDocument/2006/relationships/hyperlink" Target="http://www.mobilit.belgium.be/nl/binaries/Kilometers2011_tcm466-224870.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enterprise/policies/sustainable-business/ecodesign/product-groups/index_en.htm" TargetMode="External"/><Relationship Id="rId7" Type="http://schemas.openxmlformats.org/officeDocument/2006/relationships/comments" Target="../comments2.xml"/><Relationship Id="rId2" Type="http://schemas.openxmlformats.org/officeDocument/2006/relationships/hyperlink" Target="http://www.livios.be/" TargetMode="External"/><Relationship Id="rId1" Type="http://schemas.openxmlformats.org/officeDocument/2006/relationships/hyperlink" Target="http://www.oved.be/sites/default/files/upload/3a_P-LP-VEA-BENgebouwen.pdf" TargetMode="External"/><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viessmann.be/" TargetMode="External"/><Relationship Id="rId7" Type="http://schemas.openxmlformats.org/officeDocument/2006/relationships/comments" Target="../comments3.xml"/><Relationship Id="rId2" Type="http://schemas.openxmlformats.org/officeDocument/2006/relationships/hyperlink" Target="http://www.oved.be/sites/default/files/upload/3a_P-LP-VEA-BENgebouwen.pdf" TargetMode="External"/><Relationship Id="rId1" Type="http://schemas.openxmlformats.org/officeDocument/2006/relationships/hyperlink" Target="http://ec.europa.eu/enterprise/policies/sustainable-business/ecodesign/product-groups/index_en.htm" TargetMode="External"/><Relationship Id="rId6" Type="http://schemas.openxmlformats.org/officeDocument/2006/relationships/vmlDrawing" Target="../drawings/vmlDrawing3.vml"/><Relationship Id="rId5" Type="http://schemas.openxmlformats.org/officeDocument/2006/relationships/drawing" Target="../drawings/drawing5.xml"/><Relationship Id="rId4"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37"/>
  <sheetViews>
    <sheetView showGridLines="0" zoomScaleNormal="100" workbookViewId="0">
      <selection activeCell="A4" sqref="A4"/>
    </sheetView>
  </sheetViews>
  <sheetFormatPr defaultRowHeight="15"/>
  <cols>
    <col min="1" max="1" width="69.5703125" customWidth="1"/>
    <col min="2" max="2" width="84.5703125" customWidth="1"/>
    <col min="3" max="3" width="133" bestFit="1" customWidth="1"/>
  </cols>
  <sheetData>
    <row r="1" spans="1:7" ht="15.75" thickBot="1"/>
    <row r="2" spans="1:7" s="1" customFormat="1" ht="20.25" customHeight="1">
      <c r="A2" s="32" t="s">
        <v>74</v>
      </c>
      <c r="B2" s="33"/>
      <c r="C2" s="755"/>
    </row>
    <row r="3" spans="1:7" s="1" customFormat="1" ht="15" customHeight="1">
      <c r="A3" s="34"/>
      <c r="B3" s="26"/>
      <c r="C3" s="756"/>
    </row>
    <row r="4" spans="1:7" s="1" customFormat="1" ht="15.75" customHeight="1" thickBot="1">
      <c r="A4" s="56" t="s">
        <v>739</v>
      </c>
      <c r="B4" s="57"/>
      <c r="C4" s="757"/>
    </row>
    <row r="5" spans="1:7" s="21" customFormat="1" ht="15.75" customHeight="1">
      <c r="A5" s="500"/>
      <c r="B5" s="58"/>
      <c r="C5" s="59"/>
    </row>
    <row r="6" spans="1:7" s="21" customFormat="1" ht="15" customHeight="1">
      <c r="A6" s="35" t="str">
        <f>'data '!A4</f>
        <v>11029</v>
      </c>
      <c r="B6" s="20"/>
      <c r="C6" s="36"/>
    </row>
    <row r="7" spans="1:7" s="21" customFormat="1" ht="15.75" customHeight="1">
      <c r="A7" s="37" t="str">
        <f>'data '!A5</f>
        <v>MORTSEL</v>
      </c>
      <c r="B7" s="20"/>
      <c r="C7" s="36"/>
    </row>
    <row r="8" spans="1:7" ht="15.75" thickBot="1">
      <c r="A8" s="7"/>
      <c r="B8" s="60"/>
      <c r="C8" s="61"/>
    </row>
    <row r="9" spans="1:7" s="1" customFormat="1" ht="15.75" thickBot="1">
      <c r="A9" s="62" t="s">
        <v>75</v>
      </c>
      <c r="B9" s="63"/>
      <c r="C9" s="64"/>
    </row>
    <row r="10" spans="1:7" s="2" customFormat="1" ht="43.5" customHeight="1" thickBot="1">
      <c r="A10" s="750" t="s">
        <v>252</v>
      </c>
      <c r="B10" s="751"/>
      <c r="C10" s="752"/>
    </row>
    <row r="11" spans="1:7" s="9" customFormat="1" ht="15.75" thickBot="1">
      <c r="A11" s="62" t="s">
        <v>76</v>
      </c>
      <c r="B11" s="63"/>
      <c r="C11" s="64"/>
      <c r="G11" s="22"/>
    </row>
    <row r="12" spans="1:7">
      <c r="A12" s="6"/>
      <c r="B12" s="5"/>
      <c r="C12" s="38"/>
    </row>
    <row r="13" spans="1:7" s="9" customFormat="1">
      <c r="A13" s="582" t="s">
        <v>726</v>
      </c>
      <c r="B13" s="31"/>
      <c r="C13" s="40"/>
      <c r="D13" s="1"/>
      <c r="E13" s="1"/>
      <c r="G13" s="22"/>
    </row>
    <row r="14" spans="1:7" s="9" customFormat="1">
      <c r="A14" s="39"/>
      <c r="B14" s="31"/>
      <c r="C14" s="40"/>
      <c r="D14" s="1"/>
      <c r="E14" s="1"/>
      <c r="G14" s="22"/>
    </row>
    <row r="15" spans="1:7" s="2" customFormat="1" ht="15.75" thickBot="1">
      <c r="A15" s="41"/>
      <c r="B15" s="5"/>
      <c r="C15" s="38"/>
      <c r="D15"/>
      <c r="E15"/>
      <c r="G15" s="14"/>
    </row>
    <row r="16" spans="1:7" s="1" customFormat="1" ht="16.5" customHeight="1" thickBot="1">
      <c r="A16" s="62" t="s">
        <v>77</v>
      </c>
      <c r="B16" s="63"/>
      <c r="C16" s="64"/>
    </row>
    <row r="17" spans="1:3" s="2" customFormat="1" ht="15.75">
      <c r="A17" s="42"/>
      <c r="B17" s="18"/>
      <c r="C17" s="43"/>
    </row>
    <row r="18" spans="1:3">
      <c r="A18" s="35" t="s">
        <v>79</v>
      </c>
      <c r="B18" s="17" t="s">
        <v>85</v>
      </c>
      <c r="C18" s="44" t="s">
        <v>84</v>
      </c>
    </row>
    <row r="19" spans="1:3" ht="60">
      <c r="A19" s="186" t="s">
        <v>519</v>
      </c>
      <c r="B19" s="28" t="s">
        <v>630</v>
      </c>
      <c r="C19" s="260" t="s">
        <v>520</v>
      </c>
    </row>
    <row r="20" spans="1:3">
      <c r="A20" s="6"/>
      <c r="B20" s="16"/>
      <c r="C20" s="46"/>
    </row>
    <row r="21" spans="1:3" s="5" customFormat="1" ht="30">
      <c r="A21" s="184" t="s">
        <v>78</v>
      </c>
      <c r="B21" s="317" t="s">
        <v>693</v>
      </c>
      <c r="C21" s="444" t="s">
        <v>521</v>
      </c>
    </row>
    <row r="22" spans="1:3" s="5" customFormat="1">
      <c r="A22" s="47"/>
      <c r="B22" s="16"/>
      <c r="C22" s="46"/>
    </row>
    <row r="23" spans="1:3" s="5" customFormat="1" ht="30">
      <c r="A23" s="45" t="s">
        <v>253</v>
      </c>
      <c r="B23" s="183" t="s">
        <v>522</v>
      </c>
      <c r="C23" s="70" t="s">
        <v>523</v>
      </c>
    </row>
    <row r="24" spans="1:3" s="5" customFormat="1">
      <c r="A24" s="47"/>
      <c r="B24" s="16"/>
      <c r="C24" s="46"/>
    </row>
    <row r="25" spans="1:3" s="202" customFormat="1">
      <c r="A25" s="45" t="s">
        <v>257</v>
      </c>
      <c r="B25" s="200" t="s">
        <v>258</v>
      </c>
      <c r="C25" s="201"/>
    </row>
    <row r="26" spans="1:3" ht="15.75" thickBot="1">
      <c r="A26" s="6"/>
      <c r="B26" s="5"/>
      <c r="C26" s="38"/>
    </row>
    <row r="27" spans="1:3" s="1" customFormat="1" ht="15.75" thickBot="1">
      <c r="A27" s="62" t="s">
        <v>82</v>
      </c>
      <c r="B27" s="65"/>
      <c r="C27" s="66"/>
    </row>
    <row r="28" spans="1:3" s="2" customFormat="1" ht="15.75">
      <c r="A28" s="42"/>
      <c r="B28" s="19"/>
      <c r="C28" s="48"/>
    </row>
    <row r="29" spans="1:3" s="2" customFormat="1">
      <c r="A29" s="49" t="s">
        <v>83</v>
      </c>
      <c r="B29" s="23" t="s">
        <v>85</v>
      </c>
      <c r="C29" s="50"/>
    </row>
    <row r="30" spans="1:3" s="5" customFormat="1">
      <c r="A30" s="473" t="s">
        <v>80</v>
      </c>
      <c r="B30" s="24" t="s">
        <v>81</v>
      </c>
      <c r="C30" s="51"/>
    </row>
    <row r="31" spans="1:3" s="5" customFormat="1">
      <c r="A31" s="472" t="s">
        <v>256</v>
      </c>
      <c r="B31" s="25" t="s">
        <v>524</v>
      </c>
      <c r="C31" s="52"/>
    </row>
    <row r="32" spans="1:3" s="5" customFormat="1" ht="15.75" thickBot="1">
      <c r="A32" s="53"/>
      <c r="B32" s="54"/>
      <c r="C32" s="55"/>
    </row>
    <row r="33" spans="1:3" s="576" customFormat="1" ht="42.75" customHeight="1" thickBot="1">
      <c r="A33" s="753" t="s">
        <v>697</v>
      </c>
      <c r="B33" s="754"/>
      <c r="C33" s="575" t="s">
        <v>698</v>
      </c>
    </row>
    <row r="34" spans="1:3">
      <c r="A34" s="5"/>
      <c r="B34" s="5"/>
      <c r="C34" s="38"/>
    </row>
    <row r="35" spans="1:3">
      <c r="A35" s="577" t="s">
        <v>186</v>
      </c>
      <c r="B35" s="1" t="s">
        <v>699</v>
      </c>
      <c r="C35" s="38"/>
    </row>
    <row r="36" spans="1:3">
      <c r="A36" s="577" t="s">
        <v>700</v>
      </c>
      <c r="B36" s="1" t="s">
        <v>699</v>
      </c>
      <c r="C36" s="38"/>
    </row>
    <row r="37" spans="1:3" s="581" customFormat="1" ht="15.75" thickBot="1">
      <c r="A37" s="578"/>
      <c r="B37" s="579"/>
      <c r="C37" s="580"/>
    </row>
  </sheetData>
  <mergeCells count="3">
    <mergeCell ref="A10:C10"/>
    <mergeCell ref="A33:B33"/>
    <mergeCell ref="C2:C4"/>
  </mergeCells>
  <hyperlinks>
    <hyperlink ref="A21" location="'INPUT--&gt;'!A1" display="'INPUT--&gt;"/>
    <hyperlink ref="A23" location="'DATA--&gt;'!A1" display="DATA--&gt;"/>
    <hyperlink ref="A25" location="'BRONNEN --&gt;'!A1" display="BRONNEN--&gt;"/>
    <hyperlink ref="A19" location="'OUTPUT--&gt;'!A1" display="OUTPUT--&gt;"/>
    <hyperlink ref="A35" location="'Nulmeting 2011'!A1" display="Nulmeting 2011"/>
    <hyperlink ref="A36" location="data!A1" display="data "/>
    <hyperlink ref="A13" r:id="rId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sheetPr>
  <dimension ref="A1:F130"/>
  <sheetViews>
    <sheetView workbookViewId="0">
      <selection activeCell="A15" sqref="A15"/>
    </sheetView>
  </sheetViews>
  <sheetFormatPr defaultColWidth="9.140625" defaultRowHeight="15"/>
  <cols>
    <col min="1" max="1" width="61.42578125" style="335" bestFit="1" customWidth="1"/>
    <col min="2" max="6" width="28.7109375" style="335" customWidth="1"/>
    <col min="7" max="16384" width="9.140625" style="335"/>
  </cols>
  <sheetData>
    <row r="1" spans="1:6" ht="62.25" customHeight="1" thickTop="1" thickBot="1">
      <c r="A1" s="332">
        <v>11029</v>
      </c>
      <c r="B1" s="333"/>
      <c r="C1" s="333"/>
      <c r="D1" s="333"/>
      <c r="E1" s="333"/>
      <c r="F1" s="334"/>
    </row>
    <row r="3" spans="1:6" ht="19.5">
      <c r="A3" s="336" t="s">
        <v>740</v>
      </c>
    </row>
    <row r="4" spans="1:6" ht="22.5">
      <c r="A4" s="337" t="s">
        <v>741</v>
      </c>
    </row>
    <row r="5" spans="1:6" ht="22.5">
      <c r="A5" s="337" t="s">
        <v>742</v>
      </c>
    </row>
    <row r="6" spans="1:6" ht="15.75" thickBot="1"/>
    <row r="7" spans="1:6" ht="20.25" thickBot="1">
      <c r="A7" s="338" t="s">
        <v>0</v>
      </c>
      <c r="B7" s="339" t="s">
        <v>743</v>
      </c>
      <c r="C7" s="339" t="s">
        <v>744</v>
      </c>
      <c r="D7" s="339"/>
      <c r="E7" s="339"/>
      <c r="F7" s="340"/>
    </row>
    <row r="8" spans="1:6" ht="16.5" thickTop="1" thickBot="1">
      <c r="A8" s="341" t="s">
        <v>745</v>
      </c>
      <c r="B8" s="342">
        <v>2011</v>
      </c>
      <c r="C8" s="342">
        <v>2020</v>
      </c>
      <c r="D8" s="333"/>
      <c r="E8" s="333"/>
      <c r="F8" s="334"/>
    </row>
    <row r="9" spans="1:6">
      <c r="A9" s="343" t="s">
        <v>1</v>
      </c>
      <c r="B9" s="344">
        <v>10771</v>
      </c>
      <c r="C9" s="344">
        <v>10776</v>
      </c>
      <c r="D9" s="344"/>
      <c r="E9" s="344"/>
      <c r="F9" s="344"/>
    </row>
    <row r="10" spans="1:6">
      <c r="A10" s="345"/>
    </row>
    <row r="11" spans="1:6" ht="15.75" thickBot="1">
      <c r="A11" s="345"/>
    </row>
    <row r="12" spans="1:6" ht="20.25" thickBot="1">
      <c r="A12" s="338" t="s">
        <v>746</v>
      </c>
      <c r="B12" s="339" t="s">
        <v>743</v>
      </c>
      <c r="C12" s="339" t="s">
        <v>747</v>
      </c>
      <c r="D12" s="339"/>
      <c r="E12" s="339"/>
      <c r="F12" s="346"/>
    </row>
    <row r="13" spans="1:6" ht="16.5" thickTop="1" thickBot="1">
      <c r="A13" s="347" t="s">
        <v>745</v>
      </c>
      <c r="B13" s="348" t="s">
        <v>748</v>
      </c>
      <c r="C13" s="348"/>
      <c r="D13" s="348"/>
      <c r="E13" s="348"/>
      <c r="F13" s="349"/>
    </row>
    <row r="14" spans="1:6">
      <c r="A14" s="350" t="s">
        <v>749</v>
      </c>
      <c r="B14" s="335">
        <v>114</v>
      </c>
    </row>
    <row r="15" spans="1:6">
      <c r="A15" s="350" t="s">
        <v>750</v>
      </c>
      <c r="B15" s="335">
        <v>2</v>
      </c>
    </row>
    <row r="16" spans="1:6">
      <c r="A16" s="350" t="s">
        <v>751</v>
      </c>
      <c r="B16" s="335">
        <v>139</v>
      </c>
    </row>
    <row r="17" spans="1:6">
      <c r="A17" s="350" t="s">
        <v>752</v>
      </c>
      <c r="B17" s="335">
        <v>2</v>
      </c>
    </row>
    <row r="18" spans="1:6">
      <c r="A18" s="350" t="s">
        <v>753</v>
      </c>
      <c r="B18" s="335">
        <v>79</v>
      </c>
    </row>
    <row r="19" spans="1:6">
      <c r="A19" s="350" t="s">
        <v>754</v>
      </c>
      <c r="B19" s="335">
        <v>70</v>
      </c>
    </row>
    <row r="20" spans="1:6">
      <c r="A20" s="350" t="s">
        <v>755</v>
      </c>
      <c r="B20" s="335">
        <v>59</v>
      </c>
    </row>
    <row r="21" spans="1:6">
      <c r="A21" s="350" t="s">
        <v>756</v>
      </c>
      <c r="B21" s="335">
        <v>0</v>
      </c>
    </row>
    <row r="22" spans="1:6">
      <c r="A22" s="350" t="s">
        <v>757</v>
      </c>
      <c r="B22" s="335">
        <v>0</v>
      </c>
    </row>
    <row r="23" spans="1:6">
      <c r="A23" s="350" t="s">
        <v>758</v>
      </c>
      <c r="B23" s="335">
        <v>0</v>
      </c>
    </row>
    <row r="24" spans="1:6">
      <c r="A24" s="350" t="s">
        <v>759</v>
      </c>
      <c r="B24" s="335">
        <v>0</v>
      </c>
    </row>
    <row r="25" spans="1:6">
      <c r="A25" s="350" t="s">
        <v>760</v>
      </c>
      <c r="B25" s="335">
        <v>0</v>
      </c>
    </row>
    <row r="26" spans="1:6">
      <c r="A26" s="350" t="s">
        <v>761</v>
      </c>
      <c r="B26" s="335">
        <v>0</v>
      </c>
    </row>
    <row r="27" spans="1:6">
      <c r="A27" s="350" t="s">
        <v>762</v>
      </c>
      <c r="B27" s="335">
        <v>0</v>
      </c>
    </row>
    <row r="28" spans="1:6">
      <c r="A28" s="343" t="s">
        <v>763</v>
      </c>
      <c r="B28" s="344">
        <v>4</v>
      </c>
      <c r="C28" s="344"/>
      <c r="D28" s="344"/>
      <c r="E28" s="344"/>
      <c r="F28" s="344"/>
    </row>
    <row r="29" spans="1:6">
      <c r="A29" s="345"/>
    </row>
    <row r="30" spans="1:6" ht="15.75" thickBot="1">
      <c r="A30" s="345"/>
    </row>
    <row r="31" spans="1:6" ht="20.25" thickBot="1">
      <c r="A31" s="338" t="s">
        <v>764</v>
      </c>
      <c r="B31" s="339" t="s">
        <v>743</v>
      </c>
      <c r="C31" s="339" t="s">
        <v>765</v>
      </c>
      <c r="D31" s="339"/>
      <c r="E31" s="339"/>
      <c r="F31" s="346"/>
    </row>
    <row r="32" spans="1:6" ht="16.5" thickTop="1" thickBot="1">
      <c r="A32" s="351"/>
      <c r="B32" s="352"/>
      <c r="C32" s="352" t="s">
        <v>766</v>
      </c>
      <c r="D32" s="352"/>
      <c r="E32" s="352" t="s">
        <v>2</v>
      </c>
      <c r="F32" s="353"/>
    </row>
    <row r="33" spans="1:6" ht="16.5" thickTop="1" thickBot="1">
      <c r="A33" s="354" t="s">
        <v>767</v>
      </c>
      <c r="B33" s="355" t="s">
        <v>768</v>
      </c>
      <c r="C33" s="355" t="s">
        <v>748</v>
      </c>
      <c r="D33" s="355" t="s">
        <v>769</v>
      </c>
      <c r="E33" s="355" t="s">
        <v>748</v>
      </c>
      <c r="F33" s="356" t="s">
        <v>769</v>
      </c>
    </row>
    <row r="34" spans="1:6">
      <c r="A34" s="350" t="s">
        <v>770</v>
      </c>
      <c r="B34" s="350" t="s">
        <v>771</v>
      </c>
      <c r="C34" s="335">
        <v>0</v>
      </c>
      <c r="D34" s="335">
        <v>0</v>
      </c>
      <c r="E34" s="335">
        <v>0</v>
      </c>
      <c r="F34" s="335">
        <v>0</v>
      </c>
    </row>
    <row r="35" spans="1:6">
      <c r="A35" s="350" t="s">
        <v>770</v>
      </c>
      <c r="B35" s="350" t="s">
        <v>772</v>
      </c>
      <c r="C35" s="335">
        <v>0</v>
      </c>
      <c r="D35" s="335">
        <v>0</v>
      </c>
      <c r="E35" s="335">
        <v>0</v>
      </c>
      <c r="F35" s="335">
        <v>0</v>
      </c>
    </row>
    <row r="36" spans="1:6">
      <c r="A36" s="350" t="s">
        <v>770</v>
      </c>
      <c r="B36" s="350" t="s">
        <v>773</v>
      </c>
      <c r="C36" s="335">
        <v>0</v>
      </c>
      <c r="D36" s="335">
        <v>0</v>
      </c>
      <c r="E36" s="335">
        <v>0</v>
      </c>
      <c r="F36" s="335">
        <v>0</v>
      </c>
    </row>
    <row r="37" spans="1:6">
      <c r="A37" s="350" t="s">
        <v>770</v>
      </c>
      <c r="B37" s="350" t="s">
        <v>774</v>
      </c>
      <c r="C37" s="335">
        <v>1</v>
      </c>
      <c r="D37" s="335">
        <v>24231.457972100299</v>
      </c>
      <c r="E37" s="335">
        <v>4</v>
      </c>
      <c r="F37" s="335">
        <v>39159</v>
      </c>
    </row>
    <row r="38" spans="1:6">
      <c r="A38" s="350" t="s">
        <v>775</v>
      </c>
      <c r="B38" s="350" t="s">
        <v>776</v>
      </c>
      <c r="C38" s="335">
        <v>8935</v>
      </c>
      <c r="D38" s="335">
        <v>139735633.10911399</v>
      </c>
      <c r="E38" s="335">
        <v>10932</v>
      </c>
      <c r="F38" s="335">
        <v>36763698.305203103</v>
      </c>
    </row>
    <row r="39" spans="1:6">
      <c r="A39" s="350" t="s">
        <v>775</v>
      </c>
      <c r="B39" s="350" t="s">
        <v>774</v>
      </c>
      <c r="C39" s="335">
        <v>0</v>
      </c>
      <c r="D39" s="335">
        <v>0</v>
      </c>
      <c r="E39" s="335">
        <v>0</v>
      </c>
      <c r="F39" s="335">
        <v>0</v>
      </c>
    </row>
    <row r="40" spans="1:6">
      <c r="A40" s="350" t="s">
        <v>777</v>
      </c>
      <c r="B40" s="350" t="s">
        <v>3</v>
      </c>
      <c r="C40" s="335">
        <v>61</v>
      </c>
      <c r="D40" s="335">
        <v>1247753.9965454901</v>
      </c>
      <c r="E40" s="335">
        <v>112</v>
      </c>
      <c r="F40" s="335">
        <v>854494.09915327304</v>
      </c>
    </row>
    <row r="41" spans="1:6">
      <c r="A41" s="350" t="s">
        <v>777</v>
      </c>
      <c r="B41" s="350" t="s">
        <v>4</v>
      </c>
      <c r="C41" s="335">
        <v>7</v>
      </c>
      <c r="D41" s="335">
        <v>354250262.83163702</v>
      </c>
      <c r="E41" s="335">
        <v>0</v>
      </c>
      <c r="F41" s="335">
        <v>0</v>
      </c>
    </row>
    <row r="42" spans="1:6">
      <c r="A42" s="350" t="s">
        <v>777</v>
      </c>
      <c r="B42" s="350" t="s">
        <v>5</v>
      </c>
      <c r="C42" s="335">
        <v>0</v>
      </c>
      <c r="D42" s="335">
        <v>0</v>
      </c>
      <c r="E42" s="335">
        <v>0</v>
      </c>
      <c r="F42" s="335">
        <v>0</v>
      </c>
    </row>
    <row r="43" spans="1:6">
      <c r="A43" s="350" t="s">
        <v>777</v>
      </c>
      <c r="B43" s="350" t="s">
        <v>6</v>
      </c>
      <c r="C43" s="335">
        <v>0</v>
      </c>
      <c r="D43" s="335">
        <v>0</v>
      </c>
      <c r="E43" s="335">
        <v>4</v>
      </c>
      <c r="F43" s="335">
        <v>26590.173854962399</v>
      </c>
    </row>
    <row r="44" spans="1:6">
      <c r="A44" s="350" t="s">
        <v>777</v>
      </c>
      <c r="B44" s="350" t="s">
        <v>7</v>
      </c>
      <c r="C44" s="335">
        <v>0</v>
      </c>
      <c r="D44" s="335">
        <v>0</v>
      </c>
      <c r="E44" s="335">
        <v>0</v>
      </c>
      <c r="F44" s="335">
        <v>0</v>
      </c>
    </row>
    <row r="45" spans="1:6">
      <c r="A45" s="350" t="s">
        <v>777</v>
      </c>
      <c r="B45" s="350" t="s">
        <v>8</v>
      </c>
      <c r="C45" s="335">
        <v>0</v>
      </c>
      <c r="D45" s="335">
        <v>0</v>
      </c>
      <c r="E45" s="335">
        <v>0</v>
      </c>
      <c r="F45" s="335">
        <v>0</v>
      </c>
    </row>
    <row r="46" spans="1:6">
      <c r="A46" s="350" t="s">
        <v>777</v>
      </c>
      <c r="B46" s="350" t="s">
        <v>9</v>
      </c>
      <c r="C46" s="335">
        <v>7</v>
      </c>
      <c r="D46" s="335">
        <v>218442.094978432</v>
      </c>
      <c r="E46" s="335">
        <v>8</v>
      </c>
      <c r="F46" s="335">
        <v>128703.970673391</v>
      </c>
    </row>
    <row r="47" spans="1:6">
      <c r="A47" s="350" t="s">
        <v>777</v>
      </c>
      <c r="B47" s="350" t="s">
        <v>774</v>
      </c>
      <c r="C47" s="335">
        <v>21</v>
      </c>
      <c r="D47" s="335">
        <v>679611.33720339299</v>
      </c>
      <c r="E47" s="335">
        <v>23</v>
      </c>
      <c r="F47" s="335">
        <v>361337.93206726102</v>
      </c>
    </row>
    <row r="48" spans="1:6">
      <c r="A48" s="350" t="s">
        <v>777</v>
      </c>
      <c r="B48" s="350" t="s">
        <v>10</v>
      </c>
      <c r="C48" s="335">
        <v>0</v>
      </c>
      <c r="D48" s="335">
        <v>0</v>
      </c>
      <c r="E48" s="335">
        <v>0</v>
      </c>
      <c r="F48" s="335">
        <v>0</v>
      </c>
    </row>
    <row r="49" spans="1:6">
      <c r="A49" s="350" t="s">
        <v>777</v>
      </c>
      <c r="B49" s="350" t="s">
        <v>11</v>
      </c>
      <c r="C49" s="335">
        <v>5</v>
      </c>
      <c r="D49" s="335">
        <v>651388.87876460503</v>
      </c>
      <c r="E49" s="335">
        <v>11</v>
      </c>
      <c r="F49" s="335">
        <v>716808.40153338097</v>
      </c>
    </row>
    <row r="50" spans="1:6">
      <c r="A50" s="350" t="s">
        <v>778</v>
      </c>
      <c r="B50" s="350" t="s">
        <v>779</v>
      </c>
      <c r="C50" s="335">
        <v>0</v>
      </c>
      <c r="D50" s="335">
        <v>0</v>
      </c>
      <c r="E50" s="335">
        <v>4</v>
      </c>
      <c r="F50" s="335">
        <v>28562.0962459568</v>
      </c>
    </row>
    <row r="51" spans="1:6">
      <c r="A51" s="350" t="s">
        <v>778</v>
      </c>
      <c r="B51" s="350" t="s">
        <v>774</v>
      </c>
      <c r="C51" s="335">
        <v>3</v>
      </c>
      <c r="D51" s="335">
        <v>84808.741215361995</v>
      </c>
      <c r="E51" s="335">
        <v>2</v>
      </c>
      <c r="F51" s="335">
        <v>145644.297365087</v>
      </c>
    </row>
    <row r="52" spans="1:6">
      <c r="A52" s="350" t="s">
        <v>780</v>
      </c>
      <c r="B52" s="350" t="s">
        <v>781</v>
      </c>
      <c r="C52" s="335">
        <v>409</v>
      </c>
      <c r="D52" s="335">
        <v>7072425.0373931304</v>
      </c>
      <c r="E52" s="335">
        <v>608</v>
      </c>
      <c r="F52" s="335">
        <v>2803444.3040019199</v>
      </c>
    </row>
    <row r="53" spans="1:6">
      <c r="A53" s="350" t="s">
        <v>782</v>
      </c>
      <c r="B53" s="350" t="s">
        <v>783</v>
      </c>
      <c r="C53" s="335">
        <v>0</v>
      </c>
      <c r="D53" s="335">
        <v>0</v>
      </c>
      <c r="E53" s="335">
        <v>1</v>
      </c>
      <c r="F53" s="335">
        <v>1028881</v>
      </c>
    </row>
    <row r="54" spans="1:6">
      <c r="A54" s="350" t="s">
        <v>782</v>
      </c>
      <c r="B54" s="350" t="s">
        <v>774</v>
      </c>
      <c r="C54" s="335">
        <v>0</v>
      </c>
      <c r="D54" s="335">
        <v>0</v>
      </c>
      <c r="E54" s="335">
        <v>0</v>
      </c>
      <c r="F54" s="335">
        <v>0</v>
      </c>
    </row>
    <row r="55" spans="1:6">
      <c r="A55" s="350" t="s">
        <v>784</v>
      </c>
      <c r="B55" s="350" t="s">
        <v>774</v>
      </c>
      <c r="C55" s="335">
        <v>0</v>
      </c>
      <c r="D55" s="335">
        <v>0</v>
      </c>
      <c r="E55" s="335">
        <v>0</v>
      </c>
      <c r="F55" s="335">
        <v>0</v>
      </c>
    </row>
    <row r="56" spans="1:6">
      <c r="A56" s="350" t="s">
        <v>785</v>
      </c>
      <c r="B56" s="350" t="s">
        <v>12</v>
      </c>
      <c r="C56" s="335">
        <v>67</v>
      </c>
      <c r="D56" s="335">
        <v>2423030.6149959299</v>
      </c>
      <c r="E56" s="335">
        <v>89</v>
      </c>
      <c r="F56" s="335">
        <v>880287.101232894</v>
      </c>
    </row>
    <row r="57" spans="1:6">
      <c r="A57" s="350" t="s">
        <v>785</v>
      </c>
      <c r="B57" s="350" t="s">
        <v>13</v>
      </c>
      <c r="C57" s="335">
        <v>78</v>
      </c>
      <c r="D57" s="335">
        <v>15916427.237436799</v>
      </c>
      <c r="E57" s="335">
        <v>100</v>
      </c>
      <c r="F57" s="335">
        <v>4926889.6415034002</v>
      </c>
    </row>
    <row r="58" spans="1:6">
      <c r="A58" s="350" t="s">
        <v>785</v>
      </c>
      <c r="B58" s="350" t="s">
        <v>14</v>
      </c>
      <c r="C58" s="335">
        <v>188</v>
      </c>
      <c r="D58" s="335">
        <v>6045663.2595927101</v>
      </c>
      <c r="E58" s="335">
        <v>294</v>
      </c>
      <c r="F58" s="335">
        <v>7057856.6744276602</v>
      </c>
    </row>
    <row r="59" spans="1:6">
      <c r="A59" s="350" t="s">
        <v>785</v>
      </c>
      <c r="B59" s="350" t="s">
        <v>15</v>
      </c>
      <c r="C59" s="335">
        <v>64</v>
      </c>
      <c r="D59" s="335">
        <v>3224723.1940245</v>
      </c>
      <c r="E59" s="335">
        <v>77</v>
      </c>
      <c r="F59" s="335">
        <v>1700109.21310113</v>
      </c>
    </row>
    <row r="60" spans="1:6">
      <c r="A60" s="350" t="s">
        <v>785</v>
      </c>
      <c r="B60" s="350" t="s">
        <v>16</v>
      </c>
      <c r="C60" s="335">
        <v>262</v>
      </c>
      <c r="D60" s="335">
        <v>14150715.8064346</v>
      </c>
      <c r="E60" s="335">
        <v>562</v>
      </c>
      <c r="F60" s="335">
        <v>6883940.3087403802</v>
      </c>
    </row>
    <row r="61" spans="1:6">
      <c r="A61" s="350" t="s">
        <v>785</v>
      </c>
      <c r="B61" s="350" t="s">
        <v>17</v>
      </c>
      <c r="C61" s="335">
        <v>19</v>
      </c>
      <c r="D61" s="335">
        <v>2301963.1742404001</v>
      </c>
      <c r="E61" s="335">
        <v>30</v>
      </c>
      <c r="F61" s="335">
        <v>648704.29257999302</v>
      </c>
    </row>
    <row r="62" spans="1:6">
      <c r="A62" s="350" t="s">
        <v>785</v>
      </c>
      <c r="B62" s="350" t="s">
        <v>774</v>
      </c>
      <c r="C62" s="335">
        <v>97</v>
      </c>
      <c r="D62" s="335">
        <v>4038601.6203831499</v>
      </c>
      <c r="E62" s="335">
        <v>94</v>
      </c>
      <c r="F62" s="335">
        <v>7463957.2108715596</v>
      </c>
    </row>
    <row r="63" spans="1:6">
      <c r="A63" s="350" t="s">
        <v>786</v>
      </c>
      <c r="B63" s="350" t="s">
        <v>787</v>
      </c>
      <c r="C63" s="335">
        <v>0</v>
      </c>
      <c r="D63" s="335">
        <v>0</v>
      </c>
      <c r="E63" s="335">
        <v>0</v>
      </c>
      <c r="F63" s="335">
        <v>0</v>
      </c>
    </row>
    <row r="64" spans="1:6">
      <c r="A64" s="350" t="s">
        <v>786</v>
      </c>
      <c r="B64" s="350" t="s">
        <v>774</v>
      </c>
      <c r="C64" s="335">
        <v>3</v>
      </c>
      <c r="D64" s="335">
        <v>97941.129665520406</v>
      </c>
      <c r="E64" s="335">
        <v>0</v>
      </c>
      <c r="F64" s="335">
        <v>0</v>
      </c>
    </row>
    <row r="65" spans="1:6">
      <c r="A65" s="350" t="s">
        <v>786</v>
      </c>
      <c r="B65" s="350" t="s">
        <v>788</v>
      </c>
      <c r="C65" s="335">
        <v>0</v>
      </c>
      <c r="D65" s="335">
        <v>0</v>
      </c>
      <c r="E65" s="335">
        <v>0</v>
      </c>
      <c r="F65" s="335">
        <v>0</v>
      </c>
    </row>
    <row r="66" spans="1:6">
      <c r="A66" s="357" t="s">
        <v>786</v>
      </c>
      <c r="B66" s="357" t="s">
        <v>789</v>
      </c>
      <c r="C66" s="358">
        <v>0</v>
      </c>
      <c r="D66" s="358">
        <v>0</v>
      </c>
      <c r="E66" s="358">
        <v>0</v>
      </c>
      <c r="F66" s="358">
        <v>0</v>
      </c>
    </row>
    <row r="67" spans="1:6">
      <c r="A67" s="343" t="s">
        <v>786</v>
      </c>
      <c r="B67" s="343" t="s">
        <v>790</v>
      </c>
      <c r="C67" s="344">
        <v>3</v>
      </c>
      <c r="D67" s="344">
        <v>210265.18802332901</v>
      </c>
      <c r="E67" s="344">
        <v>15</v>
      </c>
      <c r="F67" s="344">
        <v>1287356.9497499999</v>
      </c>
    </row>
    <row r="68" spans="1:6" ht="15.75" thickBot="1">
      <c r="A68" s="345"/>
    </row>
    <row r="69" spans="1:6" ht="19.5">
      <c r="A69" s="338" t="s">
        <v>791</v>
      </c>
      <c r="B69" s="339" t="s">
        <v>792</v>
      </c>
      <c r="C69" s="339" t="s">
        <v>793</v>
      </c>
      <c r="D69" s="339"/>
      <c r="E69" s="339" t="s">
        <v>794</v>
      </c>
      <c r="F69" s="346"/>
    </row>
    <row r="70" spans="1:6" ht="20.25" thickBot="1">
      <c r="A70" s="359"/>
      <c r="B70" s="360"/>
      <c r="C70" s="361" t="s">
        <v>795</v>
      </c>
      <c r="D70" s="360"/>
      <c r="E70" s="360"/>
      <c r="F70" s="362"/>
    </row>
    <row r="71" spans="1:6" ht="16.5" thickTop="1" thickBot="1">
      <c r="A71" s="347" t="s">
        <v>796</v>
      </c>
      <c r="B71" s="348" t="s">
        <v>797</v>
      </c>
      <c r="C71" s="363">
        <v>2011</v>
      </c>
      <c r="D71" s="363">
        <v>2020</v>
      </c>
      <c r="E71" s="348"/>
      <c r="F71" s="349"/>
    </row>
    <row r="72" spans="1:6">
      <c r="A72" s="350" t="s">
        <v>18</v>
      </c>
      <c r="B72" s="350" t="s">
        <v>19</v>
      </c>
      <c r="C72" s="335">
        <v>939120</v>
      </c>
      <c r="D72" s="335">
        <v>4016852</v>
      </c>
    </row>
    <row r="73" spans="1:6">
      <c r="A73" s="350" t="s">
        <v>18</v>
      </c>
      <c r="B73" s="350" t="s">
        <v>20</v>
      </c>
      <c r="C73" s="335">
        <v>53002119</v>
      </c>
      <c r="D73" s="335">
        <v>95277060</v>
      </c>
    </row>
    <row r="74" spans="1:6">
      <c r="A74" s="350" t="s">
        <v>18</v>
      </c>
      <c r="B74" s="350" t="s">
        <v>21</v>
      </c>
      <c r="C74" s="335">
        <v>2972427</v>
      </c>
      <c r="D74" s="335">
        <v>6215815</v>
      </c>
    </row>
    <row r="75" spans="1:6">
      <c r="A75" s="350" t="s">
        <v>22</v>
      </c>
      <c r="B75" s="350" t="s">
        <v>19</v>
      </c>
      <c r="C75" s="335">
        <v>474428</v>
      </c>
      <c r="D75" s="335">
        <v>516655</v>
      </c>
    </row>
    <row r="76" spans="1:6">
      <c r="A76" s="350" t="s">
        <v>22</v>
      </c>
      <c r="B76" s="350" t="s">
        <v>20</v>
      </c>
      <c r="C76" s="335">
        <v>22358063</v>
      </c>
      <c r="D76" s="335">
        <v>24688640</v>
      </c>
    </row>
    <row r="77" spans="1:6">
      <c r="A77" s="350" t="s">
        <v>22</v>
      </c>
      <c r="B77" s="350" t="s">
        <v>21</v>
      </c>
      <c r="C77" s="335">
        <v>1027822</v>
      </c>
      <c r="D77" s="335">
        <v>1032885</v>
      </c>
    </row>
    <row r="78" spans="1:6">
      <c r="A78" s="350" t="s">
        <v>23</v>
      </c>
      <c r="B78" s="350" t="s">
        <v>19</v>
      </c>
      <c r="C78" s="335">
        <v>0</v>
      </c>
      <c r="D78" s="335">
        <v>0</v>
      </c>
    </row>
    <row r="79" spans="1:6">
      <c r="A79" s="350" t="s">
        <v>23</v>
      </c>
      <c r="B79" s="350" t="s">
        <v>20</v>
      </c>
      <c r="C79" s="335">
        <v>0</v>
      </c>
      <c r="D79" s="335">
        <v>0</v>
      </c>
    </row>
    <row r="80" spans="1:6">
      <c r="A80" s="343" t="s">
        <v>23</v>
      </c>
      <c r="B80" s="343" t="s">
        <v>21</v>
      </c>
      <c r="C80" s="344">
        <v>0</v>
      </c>
      <c r="D80" s="344">
        <v>0</v>
      </c>
      <c r="E80" s="344"/>
      <c r="F80" s="344"/>
    </row>
    <row r="81" spans="1:6">
      <c r="A81" s="364"/>
      <c r="B81" s="364"/>
    </row>
    <row r="82" spans="1:6" ht="15.75" thickBot="1">
      <c r="A82" s="364"/>
      <c r="B82" s="364"/>
    </row>
    <row r="83" spans="1:6" ht="20.25" thickBot="1">
      <c r="A83" s="338" t="s">
        <v>798</v>
      </c>
      <c r="B83" s="365" t="s">
        <v>743</v>
      </c>
      <c r="C83" s="339" t="s">
        <v>799</v>
      </c>
      <c r="D83" s="339"/>
      <c r="E83" s="339"/>
      <c r="F83" s="346"/>
    </row>
    <row r="84" spans="1:6" ht="16.5" thickTop="1" thickBot="1">
      <c r="A84" s="347" t="s">
        <v>800</v>
      </c>
      <c r="B84" s="363">
        <v>2011</v>
      </c>
      <c r="C84" s="363">
        <v>2020</v>
      </c>
      <c r="D84" s="348"/>
      <c r="E84" s="348"/>
      <c r="F84" s="349"/>
    </row>
    <row r="85" spans="1:6">
      <c r="A85" s="350" t="s">
        <v>801</v>
      </c>
      <c r="B85" s="335">
        <v>277186.84788209287</v>
      </c>
      <c r="C85" s="335">
        <v>277186.84788209287</v>
      </c>
    </row>
    <row r="86" spans="1:6">
      <c r="A86" s="343" t="s">
        <v>802</v>
      </c>
      <c r="B86" s="344">
        <v>401326.4139511775</v>
      </c>
      <c r="C86" s="344">
        <v>371282.84990470315</v>
      </c>
      <c r="D86" s="344"/>
      <c r="E86" s="344"/>
      <c r="F86" s="344"/>
    </row>
    <row r="87" spans="1:6">
      <c r="A87" s="364"/>
      <c r="B87" s="366"/>
    </row>
    <row r="88" spans="1:6" ht="15.75" thickBot="1">
      <c r="A88" s="345"/>
    </row>
    <row r="89" spans="1:6" ht="20.25" thickBot="1">
      <c r="A89" s="338" t="s">
        <v>803</v>
      </c>
      <c r="B89" s="339" t="s">
        <v>743</v>
      </c>
      <c r="C89" s="339" t="s">
        <v>804</v>
      </c>
      <c r="D89" s="339"/>
      <c r="E89" s="339"/>
      <c r="F89" s="346"/>
    </row>
    <row r="90" spans="1:6" ht="16.5" thickTop="1" thickBot="1">
      <c r="A90" s="347" t="s">
        <v>745</v>
      </c>
      <c r="B90" s="348" t="s">
        <v>30</v>
      </c>
      <c r="C90" s="348"/>
      <c r="D90" s="348"/>
      <c r="E90" s="348"/>
      <c r="F90" s="349"/>
    </row>
    <row r="91" spans="1:6">
      <c r="A91" s="350" t="s">
        <v>805</v>
      </c>
      <c r="B91" s="335">
        <v>0</v>
      </c>
    </row>
    <row r="92" spans="1:6">
      <c r="A92" s="350" t="s">
        <v>806</v>
      </c>
      <c r="B92" s="335">
        <v>0</v>
      </c>
    </row>
    <row r="93" spans="1:6">
      <c r="A93" s="350" t="s">
        <v>807</v>
      </c>
      <c r="B93" s="335">
        <v>687</v>
      </c>
    </row>
    <row r="94" spans="1:6">
      <c r="A94" s="343" t="s">
        <v>808</v>
      </c>
      <c r="B94" s="344">
        <v>274</v>
      </c>
      <c r="C94" s="344"/>
      <c r="D94" s="344"/>
      <c r="E94" s="344"/>
      <c r="F94" s="344"/>
    </row>
    <row r="95" spans="1:6">
      <c r="A95" s="345"/>
    </row>
    <row r="96" spans="1:6" ht="15.75" thickBot="1">
      <c r="A96" s="345"/>
    </row>
    <row r="97" spans="1:6" ht="20.25" thickBot="1">
      <c r="A97" s="338" t="s">
        <v>809</v>
      </c>
      <c r="B97" s="339" t="s">
        <v>743</v>
      </c>
      <c r="C97" s="339" t="s">
        <v>810</v>
      </c>
      <c r="D97" s="339"/>
      <c r="E97" s="339"/>
      <c r="F97" s="346"/>
    </row>
    <row r="98" spans="1:6" ht="16.5" thickTop="1" thickBot="1">
      <c r="A98" s="347" t="s">
        <v>745</v>
      </c>
      <c r="B98" s="348" t="s">
        <v>748</v>
      </c>
      <c r="C98" s="348"/>
      <c r="D98" s="348"/>
      <c r="E98" s="348"/>
      <c r="F98" s="349"/>
    </row>
    <row r="99" spans="1:6">
      <c r="A99" s="350" t="s">
        <v>24</v>
      </c>
      <c r="B99" s="335">
        <v>7129</v>
      </c>
    </row>
    <row r="100" spans="1:6">
      <c r="A100" s="350" t="s">
        <v>811</v>
      </c>
      <c r="B100" s="335">
        <v>9</v>
      </c>
    </row>
    <row r="101" spans="1:6">
      <c r="A101" s="350" t="s">
        <v>812</v>
      </c>
      <c r="B101" s="335">
        <v>16</v>
      </c>
    </row>
    <row r="102" spans="1:6">
      <c r="A102" s="350" t="s">
        <v>25</v>
      </c>
      <c r="B102" s="335">
        <v>538</v>
      </c>
    </row>
    <row r="103" spans="1:6">
      <c r="A103" s="350" t="s">
        <v>813</v>
      </c>
      <c r="B103" s="335">
        <v>33</v>
      </c>
    </row>
    <row r="104" spans="1:6">
      <c r="A104" s="350" t="s">
        <v>814</v>
      </c>
      <c r="B104" s="335">
        <v>143</v>
      </c>
    </row>
    <row r="105" spans="1:6">
      <c r="A105" s="350" t="s">
        <v>815</v>
      </c>
      <c r="B105" s="335">
        <v>56</v>
      </c>
    </row>
    <row r="106" spans="1:6">
      <c r="A106" s="350" t="s">
        <v>816</v>
      </c>
      <c r="B106" s="335">
        <v>2194</v>
      </c>
    </row>
    <row r="107" spans="1:6">
      <c r="A107" s="343" t="s">
        <v>817</v>
      </c>
      <c r="B107" s="344">
        <v>1</v>
      </c>
      <c r="C107" s="344"/>
      <c r="D107" s="344"/>
      <c r="E107" s="344"/>
      <c r="F107" s="344"/>
    </row>
    <row r="108" spans="1:6">
      <c r="A108" s="345"/>
    </row>
    <row r="109" spans="1:6" ht="15.75" thickBot="1">
      <c r="A109" s="345"/>
    </row>
    <row r="110" spans="1:6" ht="20.25" thickBot="1">
      <c r="A110" s="338" t="s">
        <v>818</v>
      </c>
      <c r="B110" s="339" t="s">
        <v>743</v>
      </c>
      <c r="C110" s="339" t="s">
        <v>819</v>
      </c>
      <c r="D110" s="339"/>
      <c r="E110" s="339"/>
      <c r="F110" s="346"/>
    </row>
    <row r="111" spans="1:6" ht="16.5" thickTop="1" thickBot="1">
      <c r="A111" s="367"/>
      <c r="B111" s="368" t="s">
        <v>820</v>
      </c>
      <c r="C111" s="368" t="s">
        <v>26</v>
      </c>
      <c r="D111" s="368"/>
      <c r="E111" s="368"/>
      <c r="F111" s="369"/>
    </row>
    <row r="112" spans="1:6" ht="16.5" thickTop="1" thickBot="1">
      <c r="A112" s="347" t="s">
        <v>745</v>
      </c>
      <c r="B112" s="348" t="s">
        <v>748</v>
      </c>
      <c r="C112" s="348" t="s">
        <v>748</v>
      </c>
      <c r="D112" s="348"/>
      <c r="E112" s="348"/>
      <c r="F112" s="349"/>
    </row>
    <row r="113" spans="1:6">
      <c r="A113" s="350" t="s">
        <v>821</v>
      </c>
      <c r="B113" s="335">
        <v>0</v>
      </c>
      <c r="C113" s="335">
        <v>0</v>
      </c>
    </row>
    <row r="114" spans="1:6">
      <c r="A114" s="350" t="s">
        <v>822</v>
      </c>
      <c r="B114" s="335">
        <v>0</v>
      </c>
      <c r="C114" s="335">
        <v>0</v>
      </c>
    </row>
    <row r="115" spans="1:6">
      <c r="A115" s="350" t="s">
        <v>777</v>
      </c>
      <c r="B115" s="335">
        <v>0</v>
      </c>
      <c r="C115" s="335">
        <v>0</v>
      </c>
    </row>
    <row r="116" spans="1:6">
      <c r="A116" s="350" t="s">
        <v>823</v>
      </c>
      <c r="B116" s="335">
        <v>0</v>
      </c>
      <c r="C116" s="335">
        <v>0</v>
      </c>
    </row>
    <row r="117" spans="1:6">
      <c r="A117" s="350" t="s">
        <v>824</v>
      </c>
      <c r="B117" s="335">
        <v>0</v>
      </c>
      <c r="C117" s="335">
        <v>0</v>
      </c>
    </row>
    <row r="118" spans="1:6">
      <c r="A118" s="350" t="s">
        <v>825</v>
      </c>
      <c r="B118" s="335">
        <v>0</v>
      </c>
      <c r="C118" s="335">
        <v>0</v>
      </c>
    </row>
    <row r="119" spans="1:6">
      <c r="A119" s="350" t="s">
        <v>826</v>
      </c>
      <c r="B119" s="335">
        <v>0</v>
      </c>
      <c r="C119" s="335">
        <v>5</v>
      </c>
    </row>
    <row r="120" spans="1:6">
      <c r="A120" s="343" t="s">
        <v>827</v>
      </c>
      <c r="B120" s="344">
        <v>0</v>
      </c>
      <c r="C120" s="344">
        <v>0</v>
      </c>
      <c r="D120" s="344"/>
      <c r="E120" s="344"/>
      <c r="F120" s="344"/>
    </row>
    <row r="121" spans="1:6">
      <c r="A121" s="364"/>
    </row>
    <row r="122" spans="1:6" ht="15.75" thickBot="1">
      <c r="A122" s="364"/>
    </row>
    <row r="123" spans="1:6" ht="20.25" thickBot="1">
      <c r="A123" s="338" t="s">
        <v>828</v>
      </c>
      <c r="B123" s="339" t="s">
        <v>743</v>
      </c>
      <c r="C123" s="339" t="s">
        <v>819</v>
      </c>
      <c r="D123" s="339"/>
      <c r="E123" s="339"/>
      <c r="F123" s="346"/>
    </row>
    <row r="124" spans="1:6" ht="16.5" thickTop="1" thickBot="1">
      <c r="A124" s="347" t="s">
        <v>745</v>
      </c>
      <c r="B124" s="348" t="s">
        <v>748</v>
      </c>
      <c r="C124" s="348"/>
      <c r="D124" s="348"/>
      <c r="E124" s="348"/>
      <c r="F124" s="349"/>
    </row>
    <row r="125" spans="1:6">
      <c r="A125" s="350" t="s">
        <v>829</v>
      </c>
      <c r="B125" s="335">
        <v>50</v>
      </c>
    </row>
    <row r="126" spans="1:6">
      <c r="A126" s="350" t="s">
        <v>830</v>
      </c>
      <c r="B126" s="335">
        <v>1</v>
      </c>
    </row>
    <row r="127" spans="1:6">
      <c r="A127" s="350" t="s">
        <v>831</v>
      </c>
      <c r="B127" s="335">
        <v>0</v>
      </c>
    </row>
    <row r="128" spans="1:6">
      <c r="A128" s="343" t="s">
        <v>832</v>
      </c>
      <c r="B128" s="344">
        <v>0</v>
      </c>
      <c r="C128" s="344"/>
      <c r="D128" s="344"/>
      <c r="E128" s="344"/>
      <c r="F128" s="344"/>
    </row>
    <row r="130" spans="1:1">
      <c r="A130" s="366"/>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0" tint="-0.34998626667073579"/>
  </sheetPr>
  <dimension ref="A1:C20"/>
  <sheetViews>
    <sheetView showGridLines="0" workbookViewId="0">
      <selection activeCell="C2" sqref="C2"/>
    </sheetView>
  </sheetViews>
  <sheetFormatPr defaultColWidth="9.140625" defaultRowHeight="15"/>
  <cols>
    <col min="1" max="1" width="46.42578125" style="165" customWidth="1"/>
    <col min="2" max="2" width="79.85546875" style="165" customWidth="1"/>
    <col min="3" max="3" width="127.85546875" style="165" customWidth="1"/>
    <col min="4" max="16384" width="9.140625" style="165"/>
  </cols>
  <sheetData>
    <row r="1" spans="1:3" ht="15.75" thickBot="1"/>
    <row r="2" spans="1:3" s="169" customFormat="1" ht="60.75" customHeight="1" thickBot="1">
      <c r="A2" s="166" t="s">
        <v>247</v>
      </c>
      <c r="B2" s="167"/>
      <c r="C2" s="168"/>
    </row>
    <row r="3" spans="1:3" s="173" customFormat="1" ht="15.75">
      <c r="A3" s="170"/>
      <c r="B3" s="171"/>
      <c r="C3" s="172"/>
    </row>
    <row r="4" spans="1:3">
      <c r="A4" s="174" t="s">
        <v>79</v>
      </c>
      <c r="B4" s="175" t="s">
        <v>85</v>
      </c>
      <c r="C4" s="176" t="s">
        <v>84</v>
      </c>
    </row>
    <row r="5" spans="1:3" s="169" customFormat="1">
      <c r="A5" s="177"/>
      <c r="B5" s="178"/>
      <c r="C5" s="179"/>
    </row>
    <row r="6" spans="1:3" s="169" customFormat="1" ht="18">
      <c r="A6" s="481" t="s">
        <v>249</v>
      </c>
      <c r="B6" s="257" t="s">
        <v>250</v>
      </c>
      <c r="C6" s="475" t="s">
        <v>646</v>
      </c>
    </row>
    <row r="7" spans="1:3" s="169" customFormat="1">
      <c r="A7" s="482"/>
      <c r="B7" s="476"/>
      <c r="C7" s="477"/>
    </row>
    <row r="8" spans="1:3" s="169" customFormat="1" ht="30">
      <c r="A8" s="481" t="s">
        <v>641</v>
      </c>
      <c r="B8" s="478" t="s">
        <v>645</v>
      </c>
      <c r="C8" s="475" t="s">
        <v>644</v>
      </c>
    </row>
    <row r="9" spans="1:3" s="169" customFormat="1">
      <c r="A9" s="482"/>
      <c r="B9" s="476"/>
      <c r="C9" s="477"/>
    </row>
    <row r="10" spans="1:3" s="169" customFormat="1" ht="45">
      <c r="A10" s="481" t="s">
        <v>642</v>
      </c>
      <c r="B10" s="478" t="s">
        <v>647</v>
      </c>
      <c r="C10" s="502" t="s">
        <v>649</v>
      </c>
    </row>
    <row r="11" spans="1:3" s="169" customFormat="1">
      <c r="A11" s="482"/>
      <c r="B11" s="476"/>
      <c r="C11" s="477"/>
    </row>
    <row r="12" spans="1:3" s="169" customFormat="1" ht="30">
      <c r="A12" s="481" t="s">
        <v>643</v>
      </c>
      <c r="B12" s="501" t="s">
        <v>648</v>
      </c>
      <c r="C12" s="475" t="s">
        <v>650</v>
      </c>
    </row>
    <row r="13" spans="1:3" s="169" customFormat="1">
      <c r="A13" s="479"/>
      <c r="B13" s="479"/>
      <c r="C13" s="480"/>
    </row>
    <row r="14" spans="1:3" ht="21">
      <c r="A14" s="180" t="s">
        <v>251</v>
      </c>
      <c r="B14" s="181"/>
      <c r="C14" s="182"/>
    </row>
    <row r="20" spans="2:2">
      <c r="B20" s="165" t="s">
        <v>50</v>
      </c>
    </row>
  </sheetData>
  <sheetProtection password="849B" sheet="1" objects="1" scenarios="1"/>
  <hyperlinks>
    <hyperlink ref="A6" location="'EF brandstof'!A1" display="EF brandstof"/>
    <hyperlink ref="A8" location="'ECF transport '!A1" display="ECF transport"/>
    <hyperlink ref="A10" location="'groei toegevoegde waarde'!A1" display="groei toegevoegde waarde"/>
    <hyperlink ref="A12" location="'energieprijs en discontovoet'!A1" display="energieprijs en discontovoet"/>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0" tint="-0.34998626667073579"/>
  </sheetPr>
  <dimension ref="A1:M4"/>
  <sheetViews>
    <sheetView showGridLines="0" workbookViewId="0">
      <selection activeCell="C2" sqref="C2"/>
    </sheetView>
  </sheetViews>
  <sheetFormatPr defaultRowHeight="15"/>
  <cols>
    <col min="1" max="1" width="43.7109375"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5.42578125" customWidth="1"/>
    <col min="13" max="13" width="42.7109375" customWidth="1"/>
  </cols>
  <sheetData>
    <row r="1" spans="1:13" ht="30.75" thickBot="1">
      <c r="A1" s="73"/>
      <c r="B1" s="77" t="s">
        <v>34</v>
      </c>
      <c r="C1" s="77" t="s">
        <v>35</v>
      </c>
      <c r="D1" s="77" t="s">
        <v>36</v>
      </c>
      <c r="E1" s="77" t="s">
        <v>37</v>
      </c>
      <c r="F1" s="77" t="s">
        <v>29</v>
      </c>
      <c r="G1" s="77" t="s">
        <v>38</v>
      </c>
      <c r="H1" s="77" t="s">
        <v>39</v>
      </c>
      <c r="I1" s="77" t="s">
        <v>40</v>
      </c>
      <c r="J1" s="77" t="s">
        <v>41</v>
      </c>
      <c r="K1" s="77" t="s">
        <v>42</v>
      </c>
      <c r="L1" s="77" t="s">
        <v>43</v>
      </c>
      <c r="M1" s="78" t="s">
        <v>52</v>
      </c>
    </row>
    <row r="2" spans="1:13">
      <c r="A2" s="6" t="s">
        <v>46</v>
      </c>
      <c r="B2" s="5">
        <v>0.20200000000000001</v>
      </c>
      <c r="C2" s="5">
        <v>0.22700000000000001</v>
      </c>
      <c r="D2" s="5">
        <v>0.26700000000000002</v>
      </c>
      <c r="E2" s="5">
        <v>0.26700000000000002</v>
      </c>
      <c r="F2" s="5">
        <v>0.249</v>
      </c>
      <c r="G2" s="5">
        <v>0.35099999999999998</v>
      </c>
      <c r="H2" s="5">
        <v>0.35399999999999998</v>
      </c>
      <c r="I2" s="5">
        <v>0.26400000000000001</v>
      </c>
      <c r="J2" s="5">
        <v>0</v>
      </c>
      <c r="K2" s="5">
        <v>0</v>
      </c>
      <c r="L2" s="5">
        <v>0</v>
      </c>
      <c r="M2" s="38">
        <v>0.33</v>
      </c>
    </row>
    <row r="3" spans="1:13">
      <c r="A3" s="6"/>
      <c r="B3" s="5"/>
      <c r="C3" s="5"/>
      <c r="D3" s="5"/>
      <c r="E3" s="5"/>
      <c r="F3" s="5"/>
      <c r="G3" s="5"/>
      <c r="H3" s="5"/>
      <c r="I3" s="5"/>
      <c r="J3" s="5"/>
      <c r="K3" s="5"/>
      <c r="L3" s="5"/>
      <c r="M3" s="38"/>
    </row>
    <row r="4" spans="1:13" ht="15.75" thickBot="1">
      <c r="A4" s="7" t="s">
        <v>47</v>
      </c>
      <c r="B4" s="75">
        <f>B2</f>
        <v>0.20200000000000001</v>
      </c>
      <c r="C4" s="75">
        <f t="shared" ref="C4:M4" si="0">C2</f>
        <v>0.22700000000000001</v>
      </c>
      <c r="D4" s="75">
        <f t="shared" si="0"/>
        <v>0.26700000000000002</v>
      </c>
      <c r="E4" s="75">
        <f t="shared" si="0"/>
        <v>0.26700000000000002</v>
      </c>
      <c r="F4" s="75">
        <f t="shared" si="0"/>
        <v>0.249</v>
      </c>
      <c r="G4" s="75">
        <f t="shared" si="0"/>
        <v>0.35099999999999998</v>
      </c>
      <c r="H4" s="75">
        <f t="shared" si="0"/>
        <v>0.35399999999999998</v>
      </c>
      <c r="I4" s="75">
        <f t="shared" si="0"/>
        <v>0.26400000000000001</v>
      </c>
      <c r="J4" s="75">
        <f t="shared" si="0"/>
        <v>0</v>
      </c>
      <c r="K4" s="75">
        <f t="shared" si="0"/>
        <v>0</v>
      </c>
      <c r="L4" s="75">
        <f t="shared" si="0"/>
        <v>0</v>
      </c>
      <c r="M4" s="76">
        <f t="shared" si="0"/>
        <v>0.33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34998626667073579"/>
  </sheetPr>
  <dimension ref="A1:AA70"/>
  <sheetViews>
    <sheetView showGridLines="0" workbookViewId="0"/>
  </sheetViews>
  <sheetFormatPr defaultColWidth="9.140625" defaultRowHeight="15"/>
  <cols>
    <col min="1" max="1" width="19.28515625" style="173" bestFit="1" customWidth="1"/>
    <col min="2" max="2" width="24.42578125" style="173" bestFit="1" customWidth="1"/>
    <col min="3" max="3" width="43.140625" style="173" bestFit="1" customWidth="1"/>
    <col min="4" max="4" width="22" style="173" bestFit="1" customWidth="1"/>
    <col min="5" max="5" width="11" style="173" bestFit="1" customWidth="1"/>
    <col min="6" max="6" width="36.42578125" style="173" bestFit="1" customWidth="1"/>
    <col min="7" max="7" width="9.140625" style="173"/>
    <col min="8" max="8" width="12" style="173" bestFit="1" customWidth="1"/>
    <col min="9" max="16384" width="9.140625" style="173"/>
  </cols>
  <sheetData>
    <row r="1" spans="1:27" ht="15.75" thickBot="1">
      <c r="A1" s="326" t="s">
        <v>53</v>
      </c>
      <c r="B1" s="327" t="s">
        <v>59</v>
      </c>
      <c r="C1" s="327" t="s">
        <v>66</v>
      </c>
      <c r="D1" s="327" t="s">
        <v>60</v>
      </c>
      <c r="E1" s="327" t="s">
        <v>61</v>
      </c>
      <c r="F1" s="328" t="s">
        <v>62</v>
      </c>
    </row>
    <row r="2" spans="1:27" s="199" customFormat="1">
      <c r="A2" s="805" t="s">
        <v>255</v>
      </c>
      <c r="B2" s="806"/>
      <c r="C2" s="806"/>
      <c r="D2" s="806"/>
      <c r="E2" s="806"/>
      <c r="F2" s="807"/>
      <c r="G2" s="197"/>
      <c r="H2" s="197"/>
      <c r="I2" s="196"/>
      <c r="J2" s="197"/>
      <c r="K2" s="197"/>
      <c r="L2" s="197"/>
      <c r="M2" s="197"/>
      <c r="N2" s="197"/>
      <c r="O2" s="196"/>
      <c r="P2" s="196"/>
      <c r="Q2" s="197"/>
      <c r="R2" s="197"/>
      <c r="S2" s="197"/>
      <c r="T2" s="197"/>
      <c r="U2" s="197"/>
      <c r="V2" s="197"/>
      <c r="W2" s="197"/>
      <c r="X2" s="197"/>
      <c r="Y2" s="198"/>
      <c r="Z2" s="198"/>
      <c r="AA2" s="197"/>
    </row>
    <row r="3" spans="1:27" s="199" customFormat="1">
      <c r="A3" s="329"/>
      <c r="B3" s="330"/>
      <c r="C3" s="330"/>
      <c r="D3" s="330"/>
      <c r="E3" s="330"/>
      <c r="F3" s="331"/>
      <c r="G3" s="197"/>
      <c r="H3" s="197"/>
      <c r="I3" s="196"/>
      <c r="J3" s="197"/>
      <c r="K3" s="197"/>
      <c r="L3" s="197"/>
      <c r="M3" s="197"/>
      <c r="N3" s="197"/>
      <c r="O3" s="196"/>
      <c r="P3" s="196"/>
      <c r="Q3" s="197"/>
      <c r="R3" s="197"/>
      <c r="S3" s="197"/>
      <c r="T3" s="197"/>
      <c r="U3" s="197"/>
      <c r="V3" s="197"/>
      <c r="W3" s="197"/>
      <c r="X3" s="197"/>
      <c r="Y3" s="198"/>
      <c r="Z3" s="198"/>
      <c r="AA3" s="197"/>
    </row>
    <row r="4" spans="1:27">
      <c r="A4" s="490" t="s">
        <v>20</v>
      </c>
      <c r="B4" s="4" t="s">
        <v>23</v>
      </c>
      <c r="C4" s="4" t="str">
        <f t="shared" ref="C4:C35" si="0">CONCATENATE(A4,"_",B4)</f>
        <v>Personenwagens_Snelwegen</v>
      </c>
      <c r="D4" s="4" t="s">
        <v>54</v>
      </c>
      <c r="E4" s="491" t="s">
        <v>54</v>
      </c>
      <c r="F4" s="492">
        <v>2.2198787528684002E-9</v>
      </c>
    </row>
    <row r="5" spans="1:27">
      <c r="A5" s="490" t="s">
        <v>20</v>
      </c>
      <c r="B5" s="4" t="s">
        <v>18</v>
      </c>
      <c r="C5" s="4" t="str">
        <f t="shared" si="0"/>
        <v>Personenwagens_Genummerde wegen</v>
      </c>
      <c r="D5" s="4" t="s">
        <v>54</v>
      </c>
      <c r="E5" s="491" t="s">
        <v>54</v>
      </c>
      <c r="F5" s="492">
        <v>2.0406362943302999E-9</v>
      </c>
    </row>
    <row r="6" spans="1:27">
      <c r="A6" s="490" t="s">
        <v>20</v>
      </c>
      <c r="B6" s="4" t="s">
        <v>22</v>
      </c>
      <c r="C6" s="4" t="str">
        <f t="shared" si="0"/>
        <v>Personenwagens_Niet-genummerde wegen</v>
      </c>
      <c r="D6" s="4" t="s">
        <v>54</v>
      </c>
      <c r="E6" s="491" t="s">
        <v>54</v>
      </c>
      <c r="F6" s="492">
        <v>2.9218431631505001E-9</v>
      </c>
    </row>
    <row r="7" spans="1:27">
      <c r="A7" s="490" t="s">
        <v>19</v>
      </c>
      <c r="B7" s="4" t="s">
        <v>23</v>
      </c>
      <c r="C7" s="4" t="str">
        <f t="shared" si="0"/>
        <v>Lichte vrachtwagens_Snelwegen</v>
      </c>
      <c r="D7" s="4" t="s">
        <v>54</v>
      </c>
      <c r="E7" s="491" t="s">
        <v>54</v>
      </c>
      <c r="F7" s="492">
        <v>3.1486464556415E-9</v>
      </c>
    </row>
    <row r="8" spans="1:27">
      <c r="A8" s="490" t="s">
        <v>19</v>
      </c>
      <c r="B8" s="4" t="s">
        <v>18</v>
      </c>
      <c r="C8" s="4" t="str">
        <f t="shared" si="0"/>
        <v>Lichte vrachtwagens_Genummerde wegen</v>
      </c>
      <c r="D8" s="4" t="s">
        <v>54</v>
      </c>
      <c r="E8" s="491" t="s">
        <v>54</v>
      </c>
      <c r="F8" s="492">
        <v>2.8537692495758002E-9</v>
      </c>
    </row>
    <row r="9" spans="1:27">
      <c r="A9" s="490" t="s">
        <v>19</v>
      </c>
      <c r="B9" s="4" t="s">
        <v>22</v>
      </c>
      <c r="C9" s="4" t="str">
        <f t="shared" si="0"/>
        <v>Lichte vrachtwagens_Niet-genummerde wegen</v>
      </c>
      <c r="D9" s="4" t="s">
        <v>54</v>
      </c>
      <c r="E9" s="491" t="s">
        <v>54</v>
      </c>
      <c r="F9" s="492">
        <v>4.7175429741771E-9</v>
      </c>
    </row>
    <row r="10" spans="1:27">
      <c r="A10" s="490" t="s">
        <v>20</v>
      </c>
      <c r="B10" s="4" t="s">
        <v>23</v>
      </c>
      <c r="C10" s="4" t="str">
        <f t="shared" si="0"/>
        <v>Personenwagens_Snelwegen</v>
      </c>
      <c r="D10" s="4" t="s">
        <v>37</v>
      </c>
      <c r="E10" s="491" t="s">
        <v>37</v>
      </c>
      <c r="F10" s="492">
        <v>1.900616446258E-9</v>
      </c>
    </row>
    <row r="11" spans="1:27">
      <c r="A11" s="490" t="s">
        <v>20</v>
      </c>
      <c r="B11" s="4" t="s">
        <v>18</v>
      </c>
      <c r="C11" s="4" t="str">
        <f t="shared" si="0"/>
        <v>Personenwagens_Genummerde wegen</v>
      </c>
      <c r="D11" s="4" t="s">
        <v>37</v>
      </c>
      <c r="E11" s="491" t="s">
        <v>37</v>
      </c>
      <c r="F11" s="492">
        <v>1.7516798728967E-9</v>
      </c>
    </row>
    <row r="12" spans="1:27">
      <c r="A12" s="490" t="s">
        <v>20</v>
      </c>
      <c r="B12" s="4" t="s">
        <v>22</v>
      </c>
      <c r="C12" s="4" t="str">
        <f t="shared" si="0"/>
        <v>Personenwagens_Niet-genummerde wegen</v>
      </c>
      <c r="D12" s="4" t="s">
        <v>37</v>
      </c>
      <c r="E12" s="491" t="s">
        <v>37</v>
      </c>
      <c r="F12" s="492">
        <v>2.3079657840647999E-9</v>
      </c>
    </row>
    <row r="13" spans="1:27">
      <c r="A13" s="490" t="s">
        <v>21</v>
      </c>
      <c r="B13" s="4" t="s">
        <v>23</v>
      </c>
      <c r="C13" s="4" t="str">
        <f t="shared" si="0"/>
        <v>Zware vrachtwagens_Snelwegen</v>
      </c>
      <c r="D13" s="4" t="s">
        <v>37</v>
      </c>
      <c r="E13" s="491" t="s">
        <v>37</v>
      </c>
      <c r="F13" s="492">
        <v>8.5937482563930001E-9</v>
      </c>
    </row>
    <row r="14" spans="1:27">
      <c r="A14" s="490" t="s">
        <v>21</v>
      </c>
      <c r="B14" s="4" t="s">
        <v>18</v>
      </c>
      <c r="C14" s="4" t="str">
        <f t="shared" si="0"/>
        <v>Zware vrachtwagens_Genummerde wegen</v>
      </c>
      <c r="D14" s="4" t="s">
        <v>37</v>
      </c>
      <c r="E14" s="491" t="s">
        <v>37</v>
      </c>
      <c r="F14" s="492">
        <v>9.1564927663590006E-9</v>
      </c>
    </row>
    <row r="15" spans="1:27">
      <c r="A15" s="490" t="s">
        <v>21</v>
      </c>
      <c r="B15" s="4" t="s">
        <v>22</v>
      </c>
      <c r="C15" s="4" t="str">
        <f t="shared" si="0"/>
        <v>Zware vrachtwagens_Niet-genummerde wegen</v>
      </c>
      <c r="D15" s="4" t="s">
        <v>37</v>
      </c>
      <c r="E15" s="491" t="s">
        <v>37</v>
      </c>
      <c r="F15" s="492">
        <v>1.187719054505E-8</v>
      </c>
    </row>
    <row r="16" spans="1:27">
      <c r="A16" s="490" t="s">
        <v>19</v>
      </c>
      <c r="B16" s="4" t="s">
        <v>23</v>
      </c>
      <c r="C16" s="4" t="str">
        <f t="shared" si="0"/>
        <v>Lichte vrachtwagens_Snelwegen</v>
      </c>
      <c r="D16" s="4" t="s">
        <v>37</v>
      </c>
      <c r="E16" s="491" t="s">
        <v>37</v>
      </c>
      <c r="F16" s="492">
        <v>3.6801427232201002E-9</v>
      </c>
    </row>
    <row r="17" spans="1:6">
      <c r="A17" s="490" t="s">
        <v>19</v>
      </c>
      <c r="B17" s="4" t="s">
        <v>18</v>
      </c>
      <c r="C17" s="4" t="str">
        <f t="shared" si="0"/>
        <v>Lichte vrachtwagens_Genummerde wegen</v>
      </c>
      <c r="D17" s="4" t="s">
        <v>37</v>
      </c>
      <c r="E17" s="491" t="s">
        <v>37</v>
      </c>
      <c r="F17" s="492">
        <v>2.1617908997785999E-9</v>
      </c>
    </row>
    <row r="18" spans="1:6">
      <c r="A18" s="490" t="s">
        <v>19</v>
      </c>
      <c r="B18" s="4" t="s">
        <v>22</v>
      </c>
      <c r="C18" s="4" t="str">
        <f t="shared" si="0"/>
        <v>Lichte vrachtwagens_Niet-genummerde wegen</v>
      </c>
      <c r="D18" s="4" t="s">
        <v>37</v>
      </c>
      <c r="E18" s="491" t="s">
        <v>37</v>
      </c>
      <c r="F18" s="492">
        <v>3.1766386622365001E-9</v>
      </c>
    </row>
    <row r="19" spans="1:6">
      <c r="A19" s="490" t="s">
        <v>20</v>
      </c>
      <c r="B19" s="4" t="s">
        <v>23</v>
      </c>
      <c r="C19" s="4" t="str">
        <f t="shared" si="0"/>
        <v>Personenwagens_Snelwegen</v>
      </c>
      <c r="D19" s="4" t="s">
        <v>63</v>
      </c>
      <c r="E19" s="491" t="s">
        <v>37</v>
      </c>
      <c r="F19" s="492">
        <v>1.9493163332281001E-9</v>
      </c>
    </row>
    <row r="20" spans="1:6">
      <c r="A20" s="490" t="s">
        <v>20</v>
      </c>
      <c r="B20" s="4" t="s">
        <v>18</v>
      </c>
      <c r="C20" s="4" t="str">
        <f t="shared" si="0"/>
        <v>Personenwagens_Genummerde wegen</v>
      </c>
      <c r="D20" s="4" t="s">
        <v>63</v>
      </c>
      <c r="E20" s="491" t="s">
        <v>37</v>
      </c>
      <c r="F20" s="492">
        <v>1.6565989995356001E-9</v>
      </c>
    </row>
    <row r="21" spans="1:6">
      <c r="A21" s="490" t="s">
        <v>20</v>
      </c>
      <c r="B21" s="4" t="s">
        <v>22</v>
      </c>
      <c r="C21" s="4" t="str">
        <f t="shared" si="0"/>
        <v>Personenwagens_Niet-genummerde wegen</v>
      </c>
      <c r="D21" s="4" t="s">
        <v>63</v>
      </c>
      <c r="E21" s="491" t="s">
        <v>37</v>
      </c>
      <c r="F21" s="492">
        <v>1.6650054813015E-9</v>
      </c>
    </row>
    <row r="22" spans="1:6">
      <c r="A22" s="490" t="s">
        <v>19</v>
      </c>
      <c r="B22" s="4" t="s">
        <v>23</v>
      </c>
      <c r="C22" s="4" t="str">
        <f t="shared" si="0"/>
        <v>Lichte vrachtwagens_Snelwegen</v>
      </c>
      <c r="D22" s="4" t="s">
        <v>63</v>
      </c>
      <c r="E22" s="491" t="s">
        <v>37</v>
      </c>
      <c r="F22" s="492">
        <v>3.2487257287075001E-9</v>
      </c>
    </row>
    <row r="23" spans="1:6">
      <c r="A23" s="490" t="s">
        <v>19</v>
      </c>
      <c r="B23" s="4" t="s">
        <v>18</v>
      </c>
      <c r="C23" s="4" t="str">
        <f t="shared" si="0"/>
        <v>Lichte vrachtwagens_Genummerde wegen</v>
      </c>
      <c r="D23" s="4" t="s">
        <v>63</v>
      </c>
      <c r="E23" s="491" t="s">
        <v>37</v>
      </c>
      <c r="F23" s="492">
        <v>1.7429596527300999E-9</v>
      </c>
    </row>
    <row r="24" spans="1:6">
      <c r="A24" s="490" t="s">
        <v>19</v>
      </c>
      <c r="B24" s="4" t="s">
        <v>22</v>
      </c>
      <c r="C24" s="4" t="str">
        <f t="shared" si="0"/>
        <v>Lichte vrachtwagens_Niet-genummerde wegen</v>
      </c>
      <c r="D24" s="4" t="s">
        <v>63</v>
      </c>
      <c r="E24" s="491" t="s">
        <v>37</v>
      </c>
      <c r="F24" s="492">
        <v>1.9678403609053E-9</v>
      </c>
    </row>
    <row r="25" spans="1:6">
      <c r="A25" s="490" t="s">
        <v>20</v>
      </c>
      <c r="B25" s="4" t="s">
        <v>23</v>
      </c>
      <c r="C25" s="4" t="str">
        <f t="shared" si="0"/>
        <v>Personenwagens_Snelwegen</v>
      </c>
      <c r="D25" s="4" t="s">
        <v>64</v>
      </c>
      <c r="E25" s="491" t="s">
        <v>37</v>
      </c>
      <c r="F25" s="492">
        <v>7.6733647702171996E-10</v>
      </c>
    </row>
    <row r="26" spans="1:6">
      <c r="A26" s="490" t="s">
        <v>20</v>
      </c>
      <c r="B26" s="4" t="s">
        <v>18</v>
      </c>
      <c r="C26" s="4" t="str">
        <f t="shared" si="0"/>
        <v>Personenwagens_Genummerde wegen</v>
      </c>
      <c r="D26" s="4" t="s">
        <v>64</v>
      </c>
      <c r="E26" s="491" t="s">
        <v>37</v>
      </c>
      <c r="F26" s="492">
        <v>6.5028105694856E-10</v>
      </c>
    </row>
    <row r="27" spans="1:6">
      <c r="A27" s="490" t="s">
        <v>20</v>
      </c>
      <c r="B27" s="4" t="s">
        <v>22</v>
      </c>
      <c r="C27" s="4" t="str">
        <f t="shared" si="0"/>
        <v>Personenwagens_Niet-genummerde wegen</v>
      </c>
      <c r="D27" s="4" t="s">
        <v>64</v>
      </c>
      <c r="E27" s="491" t="s">
        <v>37</v>
      </c>
      <c r="F27" s="492">
        <v>7.0518987578226996E-10</v>
      </c>
    </row>
    <row r="28" spans="1:6">
      <c r="A28" s="490" t="s">
        <v>19</v>
      </c>
      <c r="B28" s="4" t="s">
        <v>23</v>
      </c>
      <c r="C28" s="4" t="str">
        <f t="shared" si="0"/>
        <v>Lichte vrachtwagens_Snelwegen</v>
      </c>
      <c r="D28" s="4" t="s">
        <v>64</v>
      </c>
      <c r="E28" s="491" t="s">
        <v>37</v>
      </c>
      <c r="F28" s="492">
        <v>1.2950627863508E-9</v>
      </c>
    </row>
    <row r="29" spans="1:6">
      <c r="A29" s="490" t="s">
        <v>19</v>
      </c>
      <c r="B29" s="4" t="s">
        <v>18</v>
      </c>
      <c r="C29" s="4" t="str">
        <f t="shared" si="0"/>
        <v>Lichte vrachtwagens_Genummerde wegen</v>
      </c>
      <c r="D29" s="4" t="s">
        <v>64</v>
      </c>
      <c r="E29" s="491" t="s">
        <v>37</v>
      </c>
      <c r="F29" s="492">
        <v>6.9480635697848998E-10</v>
      </c>
    </row>
    <row r="30" spans="1:6">
      <c r="A30" s="490" t="s">
        <v>19</v>
      </c>
      <c r="B30" s="4" t="s">
        <v>22</v>
      </c>
      <c r="C30" s="4" t="str">
        <f t="shared" si="0"/>
        <v>Lichte vrachtwagens_Niet-genummerde wegen</v>
      </c>
      <c r="D30" s="4" t="s">
        <v>64</v>
      </c>
      <c r="E30" s="491" t="s">
        <v>37</v>
      </c>
      <c r="F30" s="492">
        <v>8.4632485436964996E-10</v>
      </c>
    </row>
    <row r="31" spans="1:6">
      <c r="A31" s="490" t="s">
        <v>20</v>
      </c>
      <c r="B31" s="4" t="s">
        <v>23</v>
      </c>
      <c r="C31" s="4" t="str">
        <f t="shared" si="0"/>
        <v>Personenwagens_Snelwegen</v>
      </c>
      <c r="D31" s="4" t="s">
        <v>28</v>
      </c>
      <c r="E31" s="491" t="s">
        <v>28</v>
      </c>
      <c r="F31" s="492">
        <v>2.6186613108338001E-9</v>
      </c>
    </row>
    <row r="32" spans="1:6">
      <c r="A32" s="490" t="s">
        <v>20</v>
      </c>
      <c r="B32" s="4" t="s">
        <v>18</v>
      </c>
      <c r="C32" s="4" t="str">
        <f t="shared" si="0"/>
        <v>Personenwagens_Genummerde wegen</v>
      </c>
      <c r="D32" s="4" t="s">
        <v>28</v>
      </c>
      <c r="E32" s="491" t="s">
        <v>28</v>
      </c>
      <c r="F32" s="492">
        <v>1.9890176492788998E-9</v>
      </c>
    </row>
    <row r="33" spans="1:6">
      <c r="A33" s="490" t="s">
        <v>20</v>
      </c>
      <c r="B33" s="4" t="s">
        <v>22</v>
      </c>
      <c r="C33" s="4" t="str">
        <f t="shared" si="0"/>
        <v>Personenwagens_Niet-genummerde wegen</v>
      </c>
      <c r="D33" s="4" t="s">
        <v>28</v>
      </c>
      <c r="E33" s="491" t="s">
        <v>28</v>
      </c>
      <c r="F33" s="492">
        <v>2.5798084213915999E-9</v>
      </c>
    </row>
    <row r="34" spans="1:6">
      <c r="A34" s="490" t="s">
        <v>19</v>
      </c>
      <c r="B34" s="4" t="s">
        <v>23</v>
      </c>
      <c r="C34" s="4" t="str">
        <f t="shared" si="0"/>
        <v>Lichte vrachtwagens_Snelwegen</v>
      </c>
      <c r="D34" s="4" t="s">
        <v>28</v>
      </c>
      <c r="E34" s="491" t="s">
        <v>28</v>
      </c>
      <c r="F34" s="492">
        <v>2.4749055007958998E-9</v>
      </c>
    </row>
    <row r="35" spans="1:6">
      <c r="A35" s="490" t="s">
        <v>19</v>
      </c>
      <c r="B35" s="4" t="s">
        <v>18</v>
      </c>
      <c r="C35" s="4" t="str">
        <f t="shared" si="0"/>
        <v>Lichte vrachtwagens_Genummerde wegen</v>
      </c>
      <c r="D35" s="4" t="s">
        <v>28</v>
      </c>
      <c r="E35" s="491" t="s">
        <v>28</v>
      </c>
      <c r="F35" s="492">
        <v>1.8796657147002E-9</v>
      </c>
    </row>
    <row r="36" spans="1:6">
      <c r="A36" s="490" t="s">
        <v>19</v>
      </c>
      <c r="B36" s="4" t="s">
        <v>22</v>
      </c>
      <c r="C36" s="4" t="str">
        <f t="shared" ref="C36:C63" si="1">CONCATENATE(A36,"_",B36)</f>
        <v>Lichte vrachtwagens_Niet-genummerde wegen</v>
      </c>
      <c r="D36" s="4" t="s">
        <v>28</v>
      </c>
      <c r="E36" s="491" t="s">
        <v>28</v>
      </c>
      <c r="F36" s="492">
        <v>2.4262176911669001E-9</v>
      </c>
    </row>
    <row r="37" spans="1:6">
      <c r="A37" s="490" t="s">
        <v>20</v>
      </c>
      <c r="B37" s="4" t="s">
        <v>23</v>
      </c>
      <c r="C37" s="4" t="str">
        <f t="shared" si="1"/>
        <v>Personenwagens_Snelwegen</v>
      </c>
      <c r="D37" s="4" t="s">
        <v>56</v>
      </c>
      <c r="E37" s="491" t="s">
        <v>56</v>
      </c>
      <c r="F37" s="492">
        <v>2.0102714583099999E-9</v>
      </c>
    </row>
    <row r="38" spans="1:6">
      <c r="A38" s="490" t="s">
        <v>20</v>
      </c>
      <c r="B38" s="4" t="s">
        <v>18</v>
      </c>
      <c r="C38" s="4" t="str">
        <f t="shared" si="1"/>
        <v>Personenwagens_Genummerde wegen</v>
      </c>
      <c r="D38" s="4" t="s">
        <v>56</v>
      </c>
      <c r="E38" s="491" t="s">
        <v>56</v>
      </c>
      <c r="F38" s="492">
        <v>1.8548209372141E-9</v>
      </c>
    </row>
    <row r="39" spans="1:6">
      <c r="A39" s="490" t="s">
        <v>20</v>
      </c>
      <c r="B39" s="4" t="s">
        <v>22</v>
      </c>
      <c r="C39" s="4" t="str">
        <f t="shared" si="1"/>
        <v>Personenwagens_Niet-genummerde wegen</v>
      </c>
      <c r="D39" s="4" t="s">
        <v>56</v>
      </c>
      <c r="E39" s="491" t="s">
        <v>56</v>
      </c>
      <c r="F39" s="492">
        <v>2.6676858255687998E-9</v>
      </c>
    </row>
    <row r="40" spans="1:6">
      <c r="A40" s="490" t="s">
        <v>19</v>
      </c>
      <c r="B40" s="4" t="s">
        <v>23</v>
      </c>
      <c r="C40" s="4" t="str">
        <f t="shared" si="1"/>
        <v>Lichte vrachtwagens_Snelwegen</v>
      </c>
      <c r="D40" s="4" t="s">
        <v>56</v>
      </c>
      <c r="E40" s="491" t="s">
        <v>56</v>
      </c>
      <c r="F40" s="492">
        <v>3.2649944801482998E-9</v>
      </c>
    </row>
    <row r="41" spans="1:6">
      <c r="A41" s="490" t="s">
        <v>19</v>
      </c>
      <c r="B41" s="4" t="s">
        <v>18</v>
      </c>
      <c r="C41" s="4" t="str">
        <f t="shared" si="1"/>
        <v>Lichte vrachtwagens_Genummerde wegen</v>
      </c>
      <c r="D41" s="4" t="s">
        <v>56</v>
      </c>
      <c r="E41" s="491" t="s">
        <v>56</v>
      </c>
      <c r="F41" s="492">
        <v>2.9628109503369999E-9</v>
      </c>
    </row>
    <row r="42" spans="1:6">
      <c r="A42" s="490" t="s">
        <v>19</v>
      </c>
      <c r="B42" s="4" t="s">
        <v>22</v>
      </c>
      <c r="C42" s="4" t="str">
        <f t="shared" si="1"/>
        <v>Lichte vrachtwagens_Niet-genummerde wegen</v>
      </c>
      <c r="D42" s="4" t="s">
        <v>56</v>
      </c>
      <c r="E42" s="491" t="s">
        <v>56</v>
      </c>
      <c r="F42" s="492">
        <v>4.8727652456859004E-9</v>
      </c>
    </row>
    <row r="43" spans="1:6">
      <c r="A43" s="490" t="s">
        <v>20</v>
      </c>
      <c r="B43" s="4" t="s">
        <v>23</v>
      </c>
      <c r="C43" s="4" t="str">
        <f t="shared" si="1"/>
        <v>Personenwagens_Snelwegen</v>
      </c>
      <c r="D43" s="4" t="s">
        <v>57</v>
      </c>
      <c r="E43" s="491" t="s">
        <v>56</v>
      </c>
      <c r="F43" s="492">
        <v>2.2397108392351999E-9</v>
      </c>
    </row>
    <row r="44" spans="1:6">
      <c r="A44" s="490" t="s">
        <v>20</v>
      </c>
      <c r="B44" s="4" t="s">
        <v>18</v>
      </c>
      <c r="C44" s="4" t="str">
        <f t="shared" si="1"/>
        <v>Personenwagens_Genummerde wegen</v>
      </c>
      <c r="D44" s="4" t="s">
        <v>57</v>
      </c>
      <c r="E44" s="491" t="s">
        <v>56</v>
      </c>
      <c r="F44" s="492">
        <v>1.8965211350470998E-9</v>
      </c>
    </row>
    <row r="45" spans="1:6">
      <c r="A45" s="490" t="s">
        <v>20</v>
      </c>
      <c r="B45" s="4" t="s">
        <v>22</v>
      </c>
      <c r="C45" s="4" t="str">
        <f t="shared" si="1"/>
        <v>Personenwagens_Niet-genummerde wegen</v>
      </c>
      <c r="D45" s="4" t="s">
        <v>57</v>
      </c>
      <c r="E45" s="491" t="s">
        <v>56</v>
      </c>
      <c r="F45" s="492">
        <v>2.0727334309098998E-9</v>
      </c>
    </row>
    <row r="46" spans="1:6">
      <c r="A46" s="490" t="s">
        <v>20</v>
      </c>
      <c r="B46" s="4" t="s">
        <v>23</v>
      </c>
      <c r="C46" s="4" t="str">
        <f t="shared" si="1"/>
        <v>Personenwagens_Snelwegen</v>
      </c>
      <c r="D46" s="4" t="s">
        <v>65</v>
      </c>
      <c r="E46" s="491" t="s">
        <v>56</v>
      </c>
      <c r="F46" s="492">
        <v>8.8199586343799002E-10</v>
      </c>
    </row>
    <row r="47" spans="1:6">
      <c r="A47" s="490" t="s">
        <v>20</v>
      </c>
      <c r="B47" s="4" t="s">
        <v>18</v>
      </c>
      <c r="C47" s="4" t="str">
        <f t="shared" si="1"/>
        <v>Personenwagens_Genummerde wegen</v>
      </c>
      <c r="D47" s="4" t="s">
        <v>65</v>
      </c>
      <c r="E47" s="491" t="s">
        <v>56</v>
      </c>
      <c r="F47" s="492">
        <v>7.4515366003474999E-10</v>
      </c>
    </row>
    <row r="48" spans="1:6">
      <c r="A48" s="490" t="s">
        <v>20</v>
      </c>
      <c r="B48" s="4" t="s">
        <v>22</v>
      </c>
      <c r="C48" s="4" t="str">
        <f t="shared" si="1"/>
        <v>Personenwagens_Niet-genummerde wegen</v>
      </c>
      <c r="D48" s="4" t="s">
        <v>65</v>
      </c>
      <c r="E48" s="491" t="s">
        <v>56</v>
      </c>
      <c r="F48" s="492">
        <v>9.1469003368733998E-10</v>
      </c>
    </row>
    <row r="49" spans="1:6">
      <c r="A49" s="490" t="s">
        <v>20</v>
      </c>
      <c r="B49" s="4" t="s">
        <v>23</v>
      </c>
      <c r="C49" s="4" t="str">
        <f t="shared" si="1"/>
        <v>Personenwagens_Snelwegen</v>
      </c>
      <c r="D49" s="4" t="s">
        <v>64</v>
      </c>
      <c r="E49" s="491" t="s">
        <v>58</v>
      </c>
      <c r="F49" s="492">
        <v>5.1020360407676995E-10</v>
      </c>
    </row>
    <row r="50" spans="1:6">
      <c r="A50" s="490" t="s">
        <v>20</v>
      </c>
      <c r="B50" s="4" t="s">
        <v>23</v>
      </c>
      <c r="C50" s="4" t="str">
        <f t="shared" si="1"/>
        <v>Personenwagens_Snelwegen</v>
      </c>
      <c r="D50" s="4" t="s">
        <v>55</v>
      </c>
      <c r="E50" s="491" t="s">
        <v>58</v>
      </c>
      <c r="F50" s="492">
        <v>8.5033934012794999E-10</v>
      </c>
    </row>
    <row r="51" spans="1:6">
      <c r="A51" s="490" t="s">
        <v>20</v>
      </c>
      <c r="B51" s="4" t="s">
        <v>23</v>
      </c>
      <c r="C51" s="4" t="str">
        <f t="shared" si="1"/>
        <v>Personenwagens_Snelwegen</v>
      </c>
      <c r="D51" s="4" t="s">
        <v>65</v>
      </c>
      <c r="E51" s="491" t="s">
        <v>58</v>
      </c>
      <c r="F51" s="492">
        <v>5.1020360407676995E-10</v>
      </c>
    </row>
    <row r="52" spans="1:6">
      <c r="A52" s="490" t="s">
        <v>19</v>
      </c>
      <c r="B52" s="4" t="s">
        <v>23</v>
      </c>
      <c r="C52" s="4" t="str">
        <f t="shared" si="1"/>
        <v>Lichte vrachtwagens_Snelwegen</v>
      </c>
      <c r="D52" s="4" t="s">
        <v>64</v>
      </c>
      <c r="E52" s="491" t="s">
        <v>58</v>
      </c>
      <c r="F52" s="492">
        <v>9.7499882003897009E-10</v>
      </c>
    </row>
    <row r="53" spans="1:6">
      <c r="A53" s="490" t="s">
        <v>19</v>
      </c>
      <c r="B53" s="4" t="s">
        <v>23</v>
      </c>
      <c r="C53" s="4" t="str">
        <f t="shared" si="1"/>
        <v>Lichte vrachtwagens_Snelwegen</v>
      </c>
      <c r="D53" s="4" t="s">
        <v>55</v>
      </c>
      <c r="E53" s="491" t="s">
        <v>58</v>
      </c>
      <c r="F53" s="492">
        <v>1.6249980333983001E-9</v>
      </c>
    </row>
    <row r="54" spans="1:6">
      <c r="A54" s="493" t="s">
        <v>20</v>
      </c>
      <c r="B54" s="5" t="s">
        <v>18</v>
      </c>
      <c r="C54" s="5" t="str">
        <f t="shared" si="1"/>
        <v>Personenwagens_Genummerde wegen</v>
      </c>
      <c r="D54" s="5" t="s">
        <v>64</v>
      </c>
      <c r="E54" s="494" t="s">
        <v>58</v>
      </c>
      <c r="F54" s="495">
        <v>5.1020360407676995E-10</v>
      </c>
    </row>
    <row r="55" spans="1:6">
      <c r="A55" s="493" t="s">
        <v>20</v>
      </c>
      <c r="B55" s="5" t="s">
        <v>18</v>
      </c>
      <c r="C55" s="5" t="str">
        <f t="shared" si="1"/>
        <v>Personenwagens_Genummerde wegen</v>
      </c>
      <c r="D55" s="5" t="s">
        <v>55</v>
      </c>
      <c r="E55" s="494" t="s">
        <v>58</v>
      </c>
      <c r="F55" s="495">
        <v>8.5033934012794999E-10</v>
      </c>
    </row>
    <row r="56" spans="1:6">
      <c r="A56" s="493" t="s">
        <v>20</v>
      </c>
      <c r="B56" s="5" t="s">
        <v>18</v>
      </c>
      <c r="C56" s="5" t="str">
        <f t="shared" si="1"/>
        <v>Personenwagens_Genummerde wegen</v>
      </c>
      <c r="D56" s="5" t="s">
        <v>65</v>
      </c>
      <c r="E56" s="494" t="s">
        <v>58</v>
      </c>
      <c r="F56" s="495">
        <v>5.1020360407676995E-10</v>
      </c>
    </row>
    <row r="57" spans="1:6">
      <c r="A57" s="493" t="s">
        <v>19</v>
      </c>
      <c r="B57" s="5" t="s">
        <v>18</v>
      </c>
      <c r="C57" s="5" t="str">
        <f t="shared" si="1"/>
        <v>Lichte vrachtwagens_Genummerde wegen</v>
      </c>
      <c r="D57" s="5" t="s">
        <v>64</v>
      </c>
      <c r="E57" s="494" t="s">
        <v>58</v>
      </c>
      <c r="F57" s="495">
        <v>9.7499882003897009E-10</v>
      </c>
    </row>
    <row r="58" spans="1:6">
      <c r="A58" s="493" t="s">
        <v>19</v>
      </c>
      <c r="B58" s="5" t="s">
        <v>18</v>
      </c>
      <c r="C58" s="5" t="str">
        <f t="shared" si="1"/>
        <v>Lichte vrachtwagens_Genummerde wegen</v>
      </c>
      <c r="D58" s="5" t="s">
        <v>55</v>
      </c>
      <c r="E58" s="494" t="s">
        <v>58</v>
      </c>
      <c r="F58" s="495">
        <v>1.6249980333983001E-9</v>
      </c>
    </row>
    <row r="59" spans="1:6">
      <c r="A59" s="490" t="s">
        <v>20</v>
      </c>
      <c r="B59" s="4" t="s">
        <v>22</v>
      </c>
      <c r="C59" s="4" t="str">
        <f t="shared" si="1"/>
        <v>Personenwagens_Niet-genummerde wegen</v>
      </c>
      <c r="D59" s="4" t="s">
        <v>64</v>
      </c>
      <c r="E59" s="491" t="s">
        <v>58</v>
      </c>
      <c r="F59" s="492">
        <v>5.1020360407676995E-10</v>
      </c>
    </row>
    <row r="60" spans="1:6">
      <c r="A60" s="490" t="s">
        <v>20</v>
      </c>
      <c r="B60" s="4" t="s">
        <v>22</v>
      </c>
      <c r="C60" s="4" t="str">
        <f t="shared" si="1"/>
        <v>Personenwagens_Niet-genummerde wegen</v>
      </c>
      <c r="D60" s="4" t="s">
        <v>55</v>
      </c>
      <c r="E60" s="491" t="s">
        <v>58</v>
      </c>
      <c r="F60" s="492">
        <v>8.5033934012794999E-10</v>
      </c>
    </row>
    <row r="61" spans="1:6">
      <c r="A61" s="490" t="s">
        <v>20</v>
      </c>
      <c r="B61" s="4" t="s">
        <v>22</v>
      </c>
      <c r="C61" s="4" t="str">
        <f t="shared" si="1"/>
        <v>Personenwagens_Niet-genummerde wegen</v>
      </c>
      <c r="D61" s="4" t="s">
        <v>65</v>
      </c>
      <c r="E61" s="491" t="s">
        <v>58</v>
      </c>
      <c r="F61" s="492">
        <v>5.1020360407676995E-10</v>
      </c>
    </row>
    <row r="62" spans="1:6">
      <c r="A62" s="490" t="s">
        <v>19</v>
      </c>
      <c r="B62" s="4" t="s">
        <v>22</v>
      </c>
      <c r="C62" s="4" t="str">
        <f t="shared" si="1"/>
        <v>Lichte vrachtwagens_Niet-genummerde wegen</v>
      </c>
      <c r="D62" s="4" t="s">
        <v>64</v>
      </c>
      <c r="E62" s="491" t="s">
        <v>58</v>
      </c>
      <c r="F62" s="492">
        <v>9.7499882003897009E-10</v>
      </c>
    </row>
    <row r="63" spans="1:6">
      <c r="A63" s="496" t="s">
        <v>19</v>
      </c>
      <c r="B63" s="30" t="s">
        <v>22</v>
      </c>
      <c r="C63" s="30" t="str">
        <f t="shared" si="1"/>
        <v>Lichte vrachtwagens_Niet-genummerde wegen</v>
      </c>
      <c r="D63" s="30" t="s">
        <v>55</v>
      </c>
      <c r="E63" s="497" t="s">
        <v>58</v>
      </c>
      <c r="F63" s="498">
        <v>1.6249980333983001E-9</v>
      </c>
    </row>
    <row r="64" spans="1:6">
      <c r="A64" s="445"/>
      <c r="B64" s="446"/>
      <c r="C64" s="446"/>
      <c r="D64" s="446"/>
      <c r="E64" s="446"/>
      <c r="F64" s="447"/>
    </row>
    <row r="65" spans="1:6">
      <c r="A65" s="445"/>
      <c r="B65" s="446"/>
      <c r="C65" s="446"/>
      <c r="D65" s="446"/>
      <c r="E65" s="446"/>
      <c r="F65" s="447"/>
    </row>
    <row r="66" spans="1:6">
      <c r="A66" s="445"/>
      <c r="B66" s="446"/>
      <c r="C66" s="446"/>
      <c r="D66" s="446"/>
      <c r="E66" s="446"/>
      <c r="F66" s="447"/>
    </row>
    <row r="67" spans="1:6">
      <c r="A67" s="445"/>
      <c r="B67" s="446"/>
      <c r="C67" s="446"/>
      <c r="D67" s="446"/>
      <c r="E67" s="446"/>
      <c r="F67" s="447"/>
    </row>
    <row r="68" spans="1:6">
      <c r="A68" s="445"/>
      <c r="B68" s="446"/>
      <c r="C68" s="446"/>
      <c r="D68" s="446"/>
      <c r="E68" s="446"/>
      <c r="F68" s="447"/>
    </row>
    <row r="69" spans="1:6">
      <c r="A69" s="445"/>
      <c r="B69" s="446"/>
      <c r="C69" s="446"/>
      <c r="D69" s="446"/>
      <c r="E69" s="446"/>
      <c r="F69" s="447"/>
    </row>
    <row r="70" spans="1:6">
      <c r="A70" s="448"/>
      <c r="B70" s="449"/>
      <c r="C70" s="446"/>
      <c r="D70" s="450"/>
      <c r="E70" s="450"/>
      <c r="F70" s="451"/>
    </row>
  </sheetData>
  <mergeCells count="1">
    <mergeCell ref="A2:F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0" tint="-0.34998626667073579"/>
  </sheetPr>
  <dimension ref="A1:N40"/>
  <sheetViews>
    <sheetView showGridLines="0" workbookViewId="0">
      <selection activeCell="B28" sqref="B28"/>
    </sheetView>
  </sheetViews>
  <sheetFormatPr defaultRowHeight="15"/>
  <cols>
    <col min="1" max="1" width="82.42578125" bestFit="1" customWidth="1"/>
    <col min="2" max="2" width="33.42578125" customWidth="1"/>
    <col min="3" max="3" width="30.7109375" bestFit="1" customWidth="1"/>
    <col min="4" max="4" width="25.140625" customWidth="1"/>
    <col min="5" max="5" width="45.42578125" bestFit="1" customWidth="1"/>
    <col min="7" max="7" width="19.140625" customWidth="1"/>
    <col min="8" max="8" width="15.7109375" customWidth="1"/>
    <col min="9" max="9" width="19.7109375" customWidth="1"/>
    <col min="10" max="10" width="17.28515625" customWidth="1"/>
    <col min="12" max="12" width="21.85546875" bestFit="1" customWidth="1"/>
  </cols>
  <sheetData>
    <row r="1" spans="1:14" s="81" customFormat="1" ht="15.75" thickBot="1">
      <c r="A1" s="87" t="s">
        <v>511</v>
      </c>
      <c r="B1" s="88"/>
      <c r="C1" s="88"/>
      <c r="D1" s="88"/>
      <c r="E1" s="88"/>
      <c r="F1" s="88"/>
      <c r="G1" s="88"/>
      <c r="H1" s="88"/>
      <c r="I1" s="88"/>
      <c r="J1" s="88"/>
      <c r="K1" s="88"/>
      <c r="L1" s="88"/>
      <c r="M1" s="88"/>
      <c r="N1" s="89" t="s">
        <v>70</v>
      </c>
    </row>
    <row r="2" spans="1:14" s="11" customFormat="1">
      <c r="A2" s="114" t="s">
        <v>87</v>
      </c>
      <c r="B2" s="115">
        <v>4.3680358291706224E-2</v>
      </c>
      <c r="C2" s="116" t="s">
        <v>289</v>
      </c>
      <c r="D2" s="117"/>
      <c r="E2" s="116"/>
      <c r="F2" s="116"/>
      <c r="G2" s="116"/>
      <c r="H2" s="116"/>
      <c r="I2" s="116"/>
      <c r="J2" s="116"/>
      <c r="K2" s="116"/>
      <c r="L2" s="116"/>
      <c r="M2" s="116"/>
      <c r="N2" s="118">
        <f>IF(ISERROR(1-((100%-B2)^(1/9))),0,1-((100%-B2)^(1/9)))</f>
        <v>4.950270000660173E-3</v>
      </c>
    </row>
    <row r="3" spans="1:14" s="11" customFormat="1">
      <c r="A3" s="97"/>
      <c r="B3" s="91"/>
      <c r="C3" s="93"/>
      <c r="D3" s="92"/>
      <c r="E3" s="93"/>
      <c r="F3" s="93"/>
      <c r="G3" s="93"/>
      <c r="H3" s="93"/>
      <c r="I3" s="93"/>
      <c r="J3" s="93"/>
      <c r="K3" s="93"/>
      <c r="L3" s="93"/>
      <c r="M3" s="93"/>
      <c r="N3" s="99"/>
    </row>
    <row r="4" spans="1:14" s="4" customFormat="1">
      <c r="A4" s="125"/>
      <c r="B4" s="126">
        <v>2011</v>
      </c>
      <c r="C4" s="126">
        <v>2012</v>
      </c>
      <c r="D4" s="126">
        <v>2013</v>
      </c>
      <c r="E4" s="126">
        <v>2014</v>
      </c>
      <c r="F4" s="126">
        <v>2015</v>
      </c>
      <c r="G4" s="126">
        <v>2016</v>
      </c>
      <c r="H4" s="126">
        <v>2017</v>
      </c>
      <c r="I4" s="126">
        <v>2018</v>
      </c>
      <c r="J4" s="126">
        <v>2019</v>
      </c>
      <c r="K4" s="126">
        <v>2020</v>
      </c>
      <c r="L4" s="29"/>
      <c r="M4" s="29"/>
      <c r="N4" s="127"/>
    </row>
    <row r="5" spans="1:14" s="4" customFormat="1">
      <c r="A5" s="108"/>
      <c r="N5" s="72"/>
    </row>
    <row r="6" spans="1:14" s="4" customFormat="1">
      <c r="A6" s="124" t="s">
        <v>16</v>
      </c>
      <c r="B6" s="13">
        <v>100</v>
      </c>
      <c r="C6" s="13">
        <v>96.491393262777279</v>
      </c>
      <c r="D6" s="13">
        <v>96.081672797844746</v>
      </c>
      <c r="E6" s="13">
        <v>96.475931317694005</v>
      </c>
      <c r="F6" s="13">
        <v>96.53707555875809</v>
      </c>
      <c r="G6" s="13">
        <v>96.782217408487838</v>
      </c>
      <c r="H6" s="13">
        <v>97.436696278723289</v>
      </c>
      <c r="I6" s="13">
        <v>98.320497215168672</v>
      </c>
      <c r="J6" s="13">
        <v>99.41921167743287</v>
      </c>
      <c r="K6" s="13">
        <v>100.72012098107119</v>
      </c>
      <c r="N6" s="72"/>
    </row>
    <row r="7" spans="1:14" s="4" customFormat="1">
      <c r="A7" s="71" t="s">
        <v>15</v>
      </c>
      <c r="B7" s="13">
        <v>100</v>
      </c>
      <c r="C7" s="13">
        <v>97.7</v>
      </c>
      <c r="D7" s="13">
        <v>98.774699999999996</v>
      </c>
      <c r="E7" s="13">
        <v>100.25632049999999</v>
      </c>
      <c r="F7" s="13">
        <v>101.55965266649997</v>
      </c>
      <c r="G7" s="13">
        <v>103.08304745649747</v>
      </c>
      <c r="H7" s="13">
        <v>104.73237621580142</v>
      </c>
      <c r="I7" s="13">
        <v>106.19862948282264</v>
      </c>
      <c r="J7" s="13">
        <v>107.8978075545478</v>
      </c>
      <c r="K7" s="13">
        <v>109.94786589808419</v>
      </c>
      <c r="N7" s="72"/>
    </row>
    <row r="8" spans="1:14" s="4" customFormat="1">
      <c r="A8" s="119" t="s">
        <v>14</v>
      </c>
      <c r="B8" s="13">
        <v>100</v>
      </c>
      <c r="C8" s="13">
        <v>97.7</v>
      </c>
      <c r="D8" s="13">
        <v>98.774699999999996</v>
      </c>
      <c r="E8" s="13">
        <v>100.25632049999999</v>
      </c>
      <c r="F8" s="13">
        <v>101.55965266649997</v>
      </c>
      <c r="G8" s="13">
        <v>103.08304745649747</v>
      </c>
      <c r="H8" s="13">
        <v>104.73237621580142</v>
      </c>
      <c r="I8" s="13">
        <v>106.19862948282264</v>
      </c>
      <c r="J8" s="13">
        <v>107.8978075545478</v>
      </c>
      <c r="K8" s="13">
        <v>109.94786589808419</v>
      </c>
      <c r="N8" s="72"/>
    </row>
    <row r="9" spans="1:14" s="4" customFormat="1">
      <c r="A9" s="71" t="s">
        <v>13</v>
      </c>
      <c r="B9" s="13">
        <v>100</v>
      </c>
      <c r="C9" s="13">
        <v>102.4</v>
      </c>
      <c r="D9" s="13">
        <v>104.55039999999998</v>
      </c>
      <c r="E9" s="13">
        <v>107.16415999999998</v>
      </c>
      <c r="F9" s="13">
        <v>109.30744319999997</v>
      </c>
      <c r="G9" s="13">
        <v>111.71220695039996</v>
      </c>
      <c r="H9" s="13">
        <v>113.83473888245757</v>
      </c>
      <c r="I9" s="13">
        <v>115.99759892122428</v>
      </c>
      <c r="J9" s="13">
        <v>118.20155330072753</v>
      </c>
      <c r="K9" s="13">
        <v>120.44738281344137</v>
      </c>
      <c r="N9" s="72"/>
    </row>
    <row r="10" spans="1:14" s="4" customFormat="1">
      <c r="A10" s="71" t="s">
        <v>12</v>
      </c>
      <c r="B10" s="13">
        <v>100</v>
      </c>
      <c r="C10" s="13">
        <v>102.4</v>
      </c>
      <c r="D10" s="13">
        <v>104.55039999999998</v>
      </c>
      <c r="E10" s="13">
        <v>107.16415999999998</v>
      </c>
      <c r="F10" s="13">
        <v>109.30744319999997</v>
      </c>
      <c r="G10" s="13">
        <v>111.71220695039996</v>
      </c>
      <c r="H10" s="13">
        <v>113.83473888245757</v>
      </c>
      <c r="I10" s="13">
        <v>115.99759892122428</v>
      </c>
      <c r="J10" s="13">
        <v>118.20155330072753</v>
      </c>
      <c r="K10" s="13">
        <v>120.44738281344137</v>
      </c>
      <c r="N10" s="72"/>
    </row>
    <row r="11" spans="1:14" s="4" customFormat="1">
      <c r="A11" s="71" t="s">
        <v>17</v>
      </c>
      <c r="B11" s="13">
        <v>100</v>
      </c>
      <c r="C11" s="13">
        <v>96.491393262777279</v>
      </c>
      <c r="D11" s="13">
        <v>96.081672797844746</v>
      </c>
      <c r="E11" s="13">
        <v>96.475931317694005</v>
      </c>
      <c r="F11" s="13">
        <v>96.53707555875809</v>
      </c>
      <c r="G11" s="13">
        <v>96.782217408487838</v>
      </c>
      <c r="H11" s="13">
        <v>97.436696278723289</v>
      </c>
      <c r="I11" s="13">
        <v>98.320497215168672</v>
      </c>
      <c r="J11" s="13">
        <v>99.41921167743287</v>
      </c>
      <c r="K11" s="13">
        <v>100.72012098107119</v>
      </c>
      <c r="N11" s="72"/>
    </row>
    <row r="12" spans="1:14" s="4" customFormat="1">
      <c r="A12" s="128" t="s">
        <v>51</v>
      </c>
      <c r="B12" s="129">
        <v>100</v>
      </c>
      <c r="C12" s="129">
        <v>97.7</v>
      </c>
      <c r="D12" s="129">
        <v>98.774699999999996</v>
      </c>
      <c r="E12" s="129">
        <v>100.25632049999999</v>
      </c>
      <c r="F12" s="129">
        <v>101.55965266649997</v>
      </c>
      <c r="G12" s="129">
        <v>103.08304745649747</v>
      </c>
      <c r="H12" s="129">
        <v>104.73237621580142</v>
      </c>
      <c r="I12" s="129">
        <v>106.19862948282264</v>
      </c>
      <c r="J12" s="129">
        <v>107.8978075545478</v>
      </c>
      <c r="K12" s="129">
        <v>109.94786589808419</v>
      </c>
      <c r="L12" s="30"/>
      <c r="M12" s="30"/>
      <c r="N12" s="130"/>
    </row>
    <row r="13" spans="1:14">
      <c r="A13" s="71"/>
      <c r="B13" s="5"/>
      <c r="C13" s="5"/>
      <c r="D13" s="5"/>
      <c r="E13" s="5"/>
      <c r="F13" s="5"/>
      <c r="G13" s="5"/>
      <c r="H13" s="5"/>
      <c r="I13" s="5"/>
      <c r="J13" s="5"/>
      <c r="K13" s="5"/>
      <c r="L13" s="5"/>
      <c r="M13" s="5"/>
      <c r="N13" s="38"/>
    </row>
    <row r="14" spans="1:14" s="80" customFormat="1">
      <c r="A14" s="97" t="s">
        <v>71</v>
      </c>
      <c r="B14" s="123">
        <v>0.27</v>
      </c>
      <c r="C14" s="93"/>
      <c r="D14" s="112"/>
      <c r="E14" s="112"/>
      <c r="F14" s="112"/>
      <c r="G14" s="112"/>
      <c r="H14" s="112"/>
      <c r="I14" s="112"/>
      <c r="J14" s="112"/>
      <c r="K14" s="112"/>
      <c r="L14" s="112"/>
      <c r="M14" s="112"/>
      <c r="N14" s="113"/>
    </row>
    <row r="15" spans="1:14" s="11" customFormat="1">
      <c r="A15" s="100"/>
      <c r="B15" s="111"/>
      <c r="C15" s="92"/>
      <c r="D15" s="92"/>
      <c r="E15" s="92"/>
      <c r="F15" s="92"/>
      <c r="G15" s="92"/>
      <c r="H15" s="92"/>
      <c r="I15" s="92"/>
      <c r="J15" s="92"/>
      <c r="K15" s="92"/>
      <c r="L15" s="92"/>
      <c r="M15" s="92"/>
      <c r="N15" s="105"/>
    </row>
    <row r="16" spans="1:14" s="92" customFormat="1">
      <c r="A16" s="107"/>
      <c r="B16" s="126">
        <v>2011</v>
      </c>
      <c r="C16" s="126">
        <v>2012</v>
      </c>
      <c r="D16" s="126">
        <v>2013</v>
      </c>
      <c r="E16" s="126">
        <v>2014</v>
      </c>
      <c r="F16" s="126">
        <v>2015</v>
      </c>
      <c r="G16" s="126">
        <v>2016</v>
      </c>
      <c r="H16" s="126">
        <v>2017</v>
      </c>
      <c r="I16" s="126">
        <v>2018</v>
      </c>
      <c r="J16" s="126">
        <v>2019</v>
      </c>
      <c r="K16" s="126">
        <v>2020</v>
      </c>
      <c r="L16" s="126" t="s">
        <v>72</v>
      </c>
      <c r="M16" s="94"/>
      <c r="N16" s="106" t="s">
        <v>70</v>
      </c>
    </row>
    <row r="17" spans="1:14" s="92" customFormat="1">
      <c r="A17" s="100"/>
      <c r="B17" s="4"/>
      <c r="C17" s="4"/>
      <c r="D17" s="4"/>
      <c r="E17" s="4"/>
      <c r="F17" s="4"/>
      <c r="G17" s="4"/>
      <c r="H17" s="4"/>
      <c r="I17" s="4"/>
      <c r="J17" s="4"/>
      <c r="K17" s="4"/>
      <c r="L17" s="4"/>
      <c r="N17" s="120"/>
    </row>
    <row r="18" spans="1:14" s="4" customFormat="1">
      <c r="A18" s="124" t="s">
        <v>88</v>
      </c>
      <c r="B18" s="109">
        <v>100</v>
      </c>
      <c r="C18" s="13">
        <f t="shared" ref="C18:K20" si="0">((C6/100)^$B$14)*100</f>
        <v>99.040292860503058</v>
      </c>
      <c r="D18" s="13">
        <f t="shared" si="0"/>
        <v>98.926569683507822</v>
      </c>
      <c r="E18" s="13">
        <f t="shared" si="0"/>
        <v>99.036007605882517</v>
      </c>
      <c r="F18" s="13">
        <f t="shared" si="0"/>
        <v>99.052950711891853</v>
      </c>
      <c r="G18" s="13">
        <f t="shared" si="0"/>
        <v>99.120801105614049</v>
      </c>
      <c r="H18" s="13">
        <f t="shared" si="0"/>
        <v>99.301335319366444</v>
      </c>
      <c r="I18" s="13">
        <f t="shared" si="0"/>
        <v>99.54372718353109</v>
      </c>
      <c r="J18" s="13">
        <f t="shared" si="0"/>
        <v>99.842853611108723</v>
      </c>
      <c r="K18" s="13">
        <f t="shared" si="0"/>
        <v>100.19392372186984</v>
      </c>
      <c r="L18" s="110">
        <f t="shared" ref="L18:L24" si="1">IF(ISERROR((K18-100)/100),0,(K18-100)/100)</f>
        <v>1.9392372186983664E-3</v>
      </c>
      <c r="N18" s="121">
        <f t="shared" ref="N18:N24" si="2">IF(ISERROR(1-((100%-L18)^(1/9))),0,1-((100%-L18)^(1/9)))</f>
        <v>2.1565673981482902E-4</v>
      </c>
    </row>
    <row r="19" spans="1:14" s="4" customFormat="1">
      <c r="A19" s="71" t="s">
        <v>15</v>
      </c>
      <c r="B19" s="109">
        <v>100</v>
      </c>
      <c r="C19" s="13">
        <f>((C7/100)^$B$14)*100</f>
        <v>99.373716454948806</v>
      </c>
      <c r="D19" s="13">
        <f t="shared" si="0"/>
        <v>99.667678866763026</v>
      </c>
      <c r="E19" s="13">
        <f t="shared" si="0"/>
        <v>100.06914188299136</v>
      </c>
      <c r="F19" s="13">
        <f t="shared" si="0"/>
        <v>100.41873030894828</v>
      </c>
      <c r="G19" s="13">
        <f t="shared" si="0"/>
        <v>100.823218572486</v>
      </c>
      <c r="H19" s="13">
        <f t="shared" si="0"/>
        <v>101.25625444403725</v>
      </c>
      <c r="I19" s="13">
        <f t="shared" si="0"/>
        <v>101.63706288115253</v>
      </c>
      <c r="J19" s="13">
        <f t="shared" si="0"/>
        <v>102.07359421520241</v>
      </c>
      <c r="K19" s="13">
        <f>((K7/100)^$B$14)*100</f>
        <v>102.59363960677608</v>
      </c>
      <c r="L19" s="110">
        <f t="shared" si="1"/>
        <v>2.5936396067760797E-2</v>
      </c>
      <c r="N19" s="121">
        <f t="shared" si="2"/>
        <v>2.9155942303127347E-3</v>
      </c>
    </row>
    <row r="20" spans="1:14" s="4" customFormat="1">
      <c r="A20" s="119" t="s">
        <v>14</v>
      </c>
      <c r="B20" s="109">
        <v>100</v>
      </c>
      <c r="C20" s="13">
        <f t="shared" si="0"/>
        <v>99.373716454948806</v>
      </c>
      <c r="D20" s="13">
        <f t="shared" si="0"/>
        <v>99.667678866763026</v>
      </c>
      <c r="E20" s="13">
        <f t="shared" si="0"/>
        <v>100.06914188299136</v>
      </c>
      <c r="F20" s="13">
        <f t="shared" si="0"/>
        <v>100.41873030894828</v>
      </c>
      <c r="G20" s="13">
        <f t="shared" si="0"/>
        <v>100.823218572486</v>
      </c>
      <c r="H20" s="13">
        <f t="shared" si="0"/>
        <v>101.25625444403725</v>
      </c>
      <c r="I20" s="13">
        <f t="shared" si="0"/>
        <v>101.63706288115253</v>
      </c>
      <c r="J20" s="13">
        <f t="shared" si="0"/>
        <v>102.07359421520241</v>
      </c>
      <c r="K20" s="13">
        <f t="shared" si="0"/>
        <v>102.59363960677608</v>
      </c>
      <c r="L20" s="110">
        <f t="shared" si="1"/>
        <v>2.5936396067760797E-2</v>
      </c>
      <c r="N20" s="121">
        <f t="shared" si="2"/>
        <v>2.9155942303127347E-3</v>
      </c>
    </row>
    <row r="21" spans="1:14" s="4" customFormat="1">
      <c r="A21" s="71" t="s">
        <v>13</v>
      </c>
      <c r="B21" s="4">
        <v>100</v>
      </c>
      <c r="C21" s="13">
        <f>((C9/100)^$B$14)*100</f>
        <v>100.64240081824202</v>
      </c>
      <c r="D21" s="13">
        <f t="shared" ref="D21:K21" si="3">((D9/100)^$B$14)*100</f>
        <v>101.20872147813881</v>
      </c>
      <c r="E21" s="13">
        <f t="shared" si="3"/>
        <v>101.88573488902286</v>
      </c>
      <c r="F21" s="13">
        <f t="shared" si="3"/>
        <v>102.43194722048803</v>
      </c>
      <c r="G21" s="13">
        <f t="shared" si="3"/>
        <v>103.03556823654947</v>
      </c>
      <c r="H21" s="13">
        <f t="shared" si="3"/>
        <v>103.56051470131902</v>
      </c>
      <c r="I21" s="13">
        <f t="shared" si="3"/>
        <v>104.08813566767661</v>
      </c>
      <c r="J21" s="13">
        <f t="shared" si="3"/>
        <v>104.61844476169505</v>
      </c>
      <c r="K21" s="13">
        <f t="shared" si="3"/>
        <v>105.15145567886934</v>
      </c>
      <c r="L21" s="110">
        <f t="shared" si="1"/>
        <v>5.1514556788693398E-2</v>
      </c>
      <c r="N21" s="121">
        <f t="shared" si="2"/>
        <v>5.8593043598782479E-3</v>
      </c>
    </row>
    <row r="22" spans="1:14" s="4" customFormat="1">
      <c r="A22" s="71" t="s">
        <v>12</v>
      </c>
      <c r="B22" s="4">
        <v>100</v>
      </c>
      <c r="C22" s="13">
        <f t="shared" ref="C22:K24" si="4">((C10/100)^$B$14)*100</f>
        <v>100.64240081824202</v>
      </c>
      <c r="D22" s="13">
        <f t="shared" si="4"/>
        <v>101.20872147813881</v>
      </c>
      <c r="E22" s="13">
        <f>((E10/100)^$B$14)*100</f>
        <v>101.88573488902286</v>
      </c>
      <c r="F22" s="13">
        <f t="shared" si="4"/>
        <v>102.43194722048803</v>
      </c>
      <c r="G22" s="13">
        <f t="shared" si="4"/>
        <v>103.03556823654947</v>
      </c>
      <c r="H22" s="13">
        <f t="shared" si="4"/>
        <v>103.56051470131902</v>
      </c>
      <c r="I22" s="13">
        <f t="shared" si="4"/>
        <v>104.08813566767661</v>
      </c>
      <c r="J22" s="13">
        <f t="shared" si="4"/>
        <v>104.61844476169505</v>
      </c>
      <c r="K22" s="13">
        <f t="shared" si="4"/>
        <v>105.15145567886934</v>
      </c>
      <c r="L22" s="110">
        <f t="shared" si="1"/>
        <v>5.1514556788693398E-2</v>
      </c>
      <c r="N22" s="121">
        <f t="shared" si="2"/>
        <v>5.8593043598782479E-3</v>
      </c>
    </row>
    <row r="23" spans="1:14" s="4" customFormat="1">
      <c r="A23" s="71" t="s">
        <v>17</v>
      </c>
      <c r="B23" s="4">
        <v>100</v>
      </c>
      <c r="C23" s="13">
        <f t="shared" si="4"/>
        <v>99.040292860503058</v>
      </c>
      <c r="D23" s="13">
        <f t="shared" si="4"/>
        <v>98.926569683507822</v>
      </c>
      <c r="E23" s="13">
        <f t="shared" si="4"/>
        <v>99.036007605882517</v>
      </c>
      <c r="F23" s="13">
        <f t="shared" si="4"/>
        <v>99.052950711891853</v>
      </c>
      <c r="G23" s="13">
        <f t="shared" si="4"/>
        <v>99.120801105614049</v>
      </c>
      <c r="H23" s="13">
        <f t="shared" si="4"/>
        <v>99.301335319366444</v>
      </c>
      <c r="I23" s="13">
        <f t="shared" si="4"/>
        <v>99.54372718353109</v>
      </c>
      <c r="J23" s="13">
        <f t="shared" si="4"/>
        <v>99.842853611108723</v>
      </c>
      <c r="K23" s="13">
        <f t="shared" si="4"/>
        <v>100.19392372186984</v>
      </c>
      <c r="L23" s="110">
        <f t="shared" si="1"/>
        <v>1.9392372186983664E-3</v>
      </c>
      <c r="N23" s="121">
        <f t="shared" si="2"/>
        <v>2.1565673981482902E-4</v>
      </c>
    </row>
    <row r="24" spans="1:14" s="4" customFormat="1">
      <c r="A24" s="128" t="s">
        <v>51</v>
      </c>
      <c r="B24" s="30">
        <v>100</v>
      </c>
      <c r="C24" s="129">
        <f t="shared" si="4"/>
        <v>99.373716454948806</v>
      </c>
      <c r="D24" s="129">
        <f t="shared" si="4"/>
        <v>99.667678866763026</v>
      </c>
      <c r="E24" s="129">
        <f t="shared" si="4"/>
        <v>100.06914188299136</v>
      </c>
      <c r="F24" s="129">
        <f t="shared" si="4"/>
        <v>100.41873030894828</v>
      </c>
      <c r="G24" s="129">
        <f t="shared" si="4"/>
        <v>100.823218572486</v>
      </c>
      <c r="H24" s="129">
        <f t="shared" si="4"/>
        <v>101.25625444403725</v>
      </c>
      <c r="I24" s="129">
        <f t="shared" si="4"/>
        <v>101.63706288115253</v>
      </c>
      <c r="J24" s="129">
        <f t="shared" si="4"/>
        <v>102.07359421520241</v>
      </c>
      <c r="K24" s="129">
        <f t="shared" si="4"/>
        <v>102.59363960677608</v>
      </c>
      <c r="L24" s="131">
        <f t="shared" si="1"/>
        <v>2.5936396067760797E-2</v>
      </c>
      <c r="M24" s="30"/>
      <c r="N24" s="132">
        <f t="shared" si="2"/>
        <v>2.9155942303127347E-3</v>
      </c>
    </row>
    <row r="25" spans="1:14">
      <c r="A25" s="6"/>
      <c r="B25" s="5"/>
      <c r="C25" s="5"/>
      <c r="D25" s="5"/>
      <c r="E25" s="5"/>
      <c r="F25" s="5"/>
      <c r="G25" s="5"/>
      <c r="H25" s="5"/>
      <c r="I25" s="5"/>
      <c r="J25" s="5"/>
      <c r="K25" s="5"/>
      <c r="L25" s="5"/>
      <c r="M25" s="5"/>
      <c r="N25" s="38"/>
    </row>
    <row r="26" spans="1:14" ht="15.75" thickBot="1">
      <c r="A26" s="122"/>
      <c r="B26" s="60"/>
      <c r="C26" s="60"/>
      <c r="D26" s="60"/>
      <c r="E26" s="60"/>
      <c r="F26" s="60"/>
      <c r="G26" s="60"/>
      <c r="H26" s="60"/>
      <c r="I26" s="60"/>
      <c r="J26" s="60"/>
      <c r="K26" s="60"/>
      <c r="L26" s="60"/>
      <c r="M26" s="60"/>
      <c r="N26" s="61"/>
    </row>
    <row r="27" spans="1:14" s="83" customFormat="1" ht="15.75" thickBot="1">
      <c r="A27" s="87" t="s">
        <v>512</v>
      </c>
      <c r="B27" s="88"/>
      <c r="C27" s="88"/>
      <c r="D27" s="88"/>
      <c r="E27" s="88"/>
      <c r="F27" s="88"/>
      <c r="G27" s="88"/>
      <c r="H27" s="88"/>
      <c r="I27" s="88"/>
      <c r="J27" s="88"/>
      <c r="K27" s="88"/>
      <c r="L27" s="88"/>
      <c r="M27" s="88"/>
      <c r="N27" s="89" t="s">
        <v>70</v>
      </c>
    </row>
    <row r="28" spans="1:14" s="12" customFormat="1">
      <c r="A28" s="101" t="s">
        <v>87</v>
      </c>
      <c r="B28" s="91">
        <v>0.12170356202568869</v>
      </c>
      <c r="C28" s="93" t="s">
        <v>289</v>
      </c>
      <c r="D28" s="93"/>
      <c r="E28" s="93"/>
      <c r="F28" s="93"/>
      <c r="G28" s="93"/>
      <c r="H28" s="93"/>
      <c r="I28" s="93"/>
      <c r="J28" s="93"/>
      <c r="K28" s="93"/>
      <c r="L28" s="93"/>
      <c r="M28" s="93"/>
      <c r="N28" s="98">
        <f>IF(ISERROR(1-((100%-B28)^(1/9))),0,1-((100%-B28)^(1/9)))</f>
        <v>1.4315556508063265E-2</v>
      </c>
    </row>
    <row r="29" spans="1:14" s="12" customFormat="1">
      <c r="A29" s="101"/>
      <c r="B29" s="91"/>
      <c r="C29" s="93"/>
      <c r="D29" s="93"/>
      <c r="E29" s="93"/>
      <c r="F29" s="93"/>
      <c r="G29" s="93"/>
      <c r="H29" s="93"/>
      <c r="I29" s="93"/>
      <c r="J29" s="93"/>
      <c r="K29" s="93"/>
      <c r="L29" s="93"/>
      <c r="M29" s="93"/>
      <c r="N29" s="98"/>
    </row>
    <row r="30" spans="1:14" s="5" customFormat="1">
      <c r="A30" s="74"/>
      <c r="B30" s="79">
        <v>2011</v>
      </c>
      <c r="C30" s="79">
        <v>2012</v>
      </c>
      <c r="D30" s="79">
        <v>2013</v>
      </c>
      <c r="E30" s="79">
        <v>2014</v>
      </c>
      <c r="F30" s="79">
        <v>2015</v>
      </c>
      <c r="G30" s="79">
        <v>2016</v>
      </c>
      <c r="H30" s="79">
        <v>2017</v>
      </c>
      <c r="I30" s="79">
        <v>2018</v>
      </c>
      <c r="J30" s="79">
        <v>2019</v>
      </c>
      <c r="K30" s="79">
        <v>2020</v>
      </c>
      <c r="L30" s="79" t="s">
        <v>72</v>
      </c>
      <c r="M30" s="79"/>
      <c r="N30" s="102" t="s">
        <v>70</v>
      </c>
    </row>
    <row r="31" spans="1:14" s="5" customFormat="1">
      <c r="A31" s="6" t="s">
        <v>5</v>
      </c>
      <c r="N31" s="38"/>
    </row>
    <row r="32" spans="1:14" s="5" customFormat="1">
      <c r="A32" s="6" t="s">
        <v>8</v>
      </c>
      <c r="B32" s="5">
        <v>100</v>
      </c>
      <c r="C32" s="10">
        <v>98.5</v>
      </c>
      <c r="D32" s="10">
        <v>97.515000000000001</v>
      </c>
      <c r="E32" s="10">
        <v>98.295119999999997</v>
      </c>
      <c r="F32" s="10">
        <v>100.16272728</v>
      </c>
      <c r="G32" s="10">
        <v>102.56663273472</v>
      </c>
      <c r="H32" s="10">
        <v>104.92566528761856</v>
      </c>
      <c r="I32" s="10">
        <v>106.81432726279567</v>
      </c>
      <c r="J32" s="10">
        <v>108.73698515352601</v>
      </c>
      <c r="K32" s="10">
        <v>110.69425088628948</v>
      </c>
      <c r="L32" s="84">
        <f>IF(ISERROR((K32-100)/100),0,(K32-100)/100)</f>
        <v>0.10694250886289482</v>
      </c>
      <c r="N32" s="103">
        <f>IF(ISERROR(1-((100%-L32)^(1/9))),0,1-((100%-L32)^(1/9)))</f>
        <v>1.24885098816645E-2</v>
      </c>
    </row>
    <row r="33" spans="1:14" s="5" customFormat="1">
      <c r="A33" s="6" t="s">
        <v>6</v>
      </c>
      <c r="B33" s="5">
        <v>100</v>
      </c>
      <c r="C33" s="10">
        <v>99.455866983372914</v>
      </c>
      <c r="D33" s="10">
        <v>98.915898527315917</v>
      </c>
      <c r="E33" s="10">
        <v>100.31273988028504</v>
      </c>
      <c r="F33" s="10">
        <v>102.83630638605605</v>
      </c>
      <c r="G33" s="10">
        <v>105.41050620697725</v>
      </c>
      <c r="H33" s="10">
        <v>107.88939175364516</v>
      </c>
      <c r="I33" s="10">
        <v>109.66414913240709</v>
      </c>
      <c r="J33" s="10">
        <v>111.3551697369642</v>
      </c>
      <c r="K33" s="10">
        <v>113.01562812479283</v>
      </c>
      <c r="L33" s="84">
        <f t="shared" ref="L33:L39" si="5">IF(ISERROR((K33-100)/100),0,(K33-100)/100)</f>
        <v>0.13015628124792827</v>
      </c>
      <c r="N33" s="103">
        <f t="shared" ref="N33:N39" si="6">IF(ISERROR(1-((100%-L33)^(1/9))),0,1-((100%-L33)^(1/9)))</f>
        <v>1.5374116950710226E-2</v>
      </c>
    </row>
    <row r="34" spans="1:14" s="5" customFormat="1">
      <c r="A34" s="6" t="s">
        <v>3</v>
      </c>
      <c r="B34" s="5">
        <v>100</v>
      </c>
      <c r="C34" s="10">
        <v>98.5</v>
      </c>
      <c r="D34" s="10">
        <v>97.515000000000001</v>
      </c>
      <c r="E34" s="10">
        <v>98.295119999999997</v>
      </c>
      <c r="F34" s="10">
        <v>100.16272728</v>
      </c>
      <c r="G34" s="10">
        <v>102.56663273472</v>
      </c>
      <c r="H34" s="10">
        <v>104.92566528761856</v>
      </c>
      <c r="I34" s="10">
        <v>106.81432726279567</v>
      </c>
      <c r="J34" s="10">
        <v>108.73698515352601</v>
      </c>
      <c r="K34" s="10">
        <v>110.69425088628948</v>
      </c>
      <c r="L34" s="84">
        <f t="shared" si="5"/>
        <v>0.10694250886289482</v>
      </c>
      <c r="N34" s="103">
        <f t="shared" si="6"/>
        <v>1.24885098816645E-2</v>
      </c>
    </row>
    <row r="35" spans="1:14" s="5" customFormat="1">
      <c r="A35" s="6" t="s">
        <v>11</v>
      </c>
      <c r="B35" s="5">
        <v>100</v>
      </c>
      <c r="C35" s="10">
        <v>98.5</v>
      </c>
      <c r="D35" s="10">
        <v>97.515000000000001</v>
      </c>
      <c r="E35" s="10">
        <v>98.295119999999997</v>
      </c>
      <c r="F35" s="10">
        <v>100.16272728</v>
      </c>
      <c r="G35" s="10">
        <v>102.56663273472</v>
      </c>
      <c r="H35" s="10">
        <v>104.92566528761856</v>
      </c>
      <c r="I35" s="10">
        <v>106.81432726279567</v>
      </c>
      <c r="J35" s="10">
        <v>108.73698515352601</v>
      </c>
      <c r="K35" s="10">
        <v>110.69425088628948</v>
      </c>
      <c r="L35" s="84">
        <f t="shared" si="5"/>
        <v>0.10694250886289482</v>
      </c>
      <c r="N35" s="103">
        <f t="shared" si="6"/>
        <v>1.24885098816645E-2</v>
      </c>
    </row>
    <row r="36" spans="1:14" s="5" customFormat="1">
      <c r="A36" s="6" t="s">
        <v>10</v>
      </c>
      <c r="B36" s="5">
        <v>100</v>
      </c>
      <c r="C36" s="10">
        <v>100.49999999999999</v>
      </c>
      <c r="D36" s="10">
        <v>100.80149999999996</v>
      </c>
      <c r="E36" s="10">
        <v>102.31352249999996</v>
      </c>
      <c r="F36" s="10">
        <v>104.35979294999996</v>
      </c>
      <c r="G36" s="10">
        <v>106.23826922309996</v>
      </c>
      <c r="H36" s="10">
        <v>108.15055806911576</v>
      </c>
      <c r="I36" s="10">
        <v>109.55651532401424</v>
      </c>
      <c r="J36" s="10">
        <v>110.65208047725442</v>
      </c>
      <c r="K36" s="10">
        <v>111.75860128202694</v>
      </c>
      <c r="L36" s="84">
        <f t="shared" si="5"/>
        <v>0.11758601282026944</v>
      </c>
      <c r="N36" s="103">
        <f t="shared" si="6"/>
        <v>1.3803179191143045E-2</v>
      </c>
    </row>
    <row r="37" spans="1:14" s="5" customFormat="1">
      <c r="A37" s="6" t="s">
        <v>7</v>
      </c>
      <c r="B37" s="5">
        <v>100</v>
      </c>
      <c r="C37" s="10">
        <v>100.49999999999999</v>
      </c>
      <c r="D37" s="10">
        <v>100.80149999999996</v>
      </c>
      <c r="E37" s="10">
        <v>102.31352249999996</v>
      </c>
      <c r="F37" s="10">
        <v>104.35979294999996</v>
      </c>
      <c r="G37" s="10">
        <v>106.23826922309996</v>
      </c>
      <c r="H37" s="10">
        <v>108.15055806911576</v>
      </c>
      <c r="I37" s="10">
        <v>109.55651532401424</v>
      </c>
      <c r="J37" s="10">
        <v>110.65208047725442</v>
      </c>
      <c r="K37" s="10">
        <v>111.75860128202694</v>
      </c>
      <c r="L37" s="84">
        <f t="shared" si="5"/>
        <v>0.11758601282026944</v>
      </c>
      <c r="N37" s="103">
        <f t="shared" si="6"/>
        <v>1.3803179191143045E-2</v>
      </c>
    </row>
    <row r="38" spans="1:14" s="5" customFormat="1">
      <c r="A38" s="6" t="s">
        <v>9</v>
      </c>
      <c r="B38" s="5">
        <v>100</v>
      </c>
      <c r="C38" s="10">
        <v>98.5</v>
      </c>
      <c r="D38" s="10">
        <v>97.515000000000001</v>
      </c>
      <c r="E38" s="10">
        <v>98.295119999999997</v>
      </c>
      <c r="F38" s="10">
        <v>100.16272728</v>
      </c>
      <c r="G38" s="10">
        <v>102.56663273472</v>
      </c>
      <c r="H38" s="10">
        <v>104.92566528761856</v>
      </c>
      <c r="I38" s="10">
        <v>106.81432726279567</v>
      </c>
      <c r="J38" s="10">
        <v>108.73698515352601</v>
      </c>
      <c r="K38" s="10">
        <v>110.69425088628948</v>
      </c>
      <c r="L38" s="84">
        <f t="shared" si="5"/>
        <v>0.10694250886289482</v>
      </c>
      <c r="N38" s="103">
        <f t="shared" si="6"/>
        <v>1.24885098816645E-2</v>
      </c>
    </row>
    <row r="39" spans="1:14" s="5" customFormat="1">
      <c r="A39" s="47" t="s">
        <v>4</v>
      </c>
      <c r="B39" s="16">
        <v>100</v>
      </c>
      <c r="C39" s="85">
        <v>99.480506822612085</v>
      </c>
      <c r="D39" s="85">
        <v>99.126217836257311</v>
      </c>
      <c r="E39" s="85">
        <v>100.26515553362572</v>
      </c>
      <c r="F39" s="85">
        <v>102.22035304219297</v>
      </c>
      <c r="G39" s="85">
        <v>104.36666504822402</v>
      </c>
      <c r="H39" s="85">
        <v>106.50667997484379</v>
      </c>
      <c r="I39" s="85">
        <v>108.15869431425081</v>
      </c>
      <c r="J39" s="85">
        <v>109.67586716896011</v>
      </c>
      <c r="K39" s="85">
        <v>111.21605229862472</v>
      </c>
      <c r="L39" s="86">
        <f t="shared" si="5"/>
        <v>0.11216052298624718</v>
      </c>
      <c r="M39" s="16"/>
      <c r="N39" s="104">
        <f t="shared" si="6"/>
        <v>1.313128042063505E-2</v>
      </c>
    </row>
    <row r="40" spans="1:14" s="5" customFormat="1">
      <c r="A40" s="6"/>
      <c r="N40" s="38"/>
    </row>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0" tint="-0.34998626667073579"/>
  </sheetPr>
  <dimension ref="A1:D43"/>
  <sheetViews>
    <sheetView workbookViewId="0">
      <selection activeCell="B6" sqref="B6"/>
    </sheetView>
  </sheetViews>
  <sheetFormatPr defaultRowHeight="15"/>
  <cols>
    <col min="1" max="1" width="28" customWidth="1"/>
    <col min="2" max="2" width="28.140625" customWidth="1"/>
    <col min="3" max="3" width="110.140625" bestFit="1" customWidth="1"/>
    <col min="4" max="4" width="66.42578125" bestFit="1" customWidth="1"/>
  </cols>
  <sheetData>
    <row r="1" spans="1:4" s="82" customFormat="1" ht="15.75" thickBot="1">
      <c r="A1" s="87" t="s">
        <v>652</v>
      </c>
      <c r="B1" s="88"/>
      <c r="C1" s="88"/>
      <c r="D1" s="90"/>
    </row>
    <row r="2" spans="1:4">
      <c r="A2" s="221"/>
      <c r="B2" s="220"/>
      <c r="C2" s="220"/>
      <c r="D2" s="222"/>
    </row>
    <row r="3" spans="1:4">
      <c r="A3" s="223"/>
      <c r="B3" s="219"/>
      <c r="C3" s="219"/>
      <c r="D3" s="224"/>
    </row>
    <row r="4" spans="1:4">
      <c r="A4" s="246" t="s">
        <v>0</v>
      </c>
      <c r="B4" s="31"/>
      <c r="C4" s="31"/>
      <c r="D4" s="40"/>
    </row>
    <row r="5" spans="1:4" s="245" customFormat="1">
      <c r="A5" s="243"/>
      <c r="B5" s="247" t="s">
        <v>373</v>
      </c>
      <c r="C5" s="247"/>
      <c r="D5" s="251" t="s">
        <v>381</v>
      </c>
    </row>
    <row r="6" spans="1:4" s="245" customFormat="1">
      <c r="A6" s="244" t="s">
        <v>376</v>
      </c>
      <c r="B6" s="250">
        <f>0.2/1.21</f>
        <v>0.16528925619834711</v>
      </c>
      <c r="C6" s="31" t="s">
        <v>379</v>
      </c>
      <c r="D6" s="40" t="s">
        <v>378</v>
      </c>
    </row>
    <row r="7" spans="1:4" s="245" customFormat="1" ht="15" customHeight="1">
      <c r="A7" s="244" t="s">
        <v>24</v>
      </c>
      <c r="B7" s="250">
        <f>0.08/1.21</f>
        <v>6.6115702479338845E-2</v>
      </c>
      <c r="C7" s="31" t="s">
        <v>379</v>
      </c>
      <c r="D7" s="40" t="s">
        <v>378</v>
      </c>
    </row>
    <row r="8" spans="1:4" s="245" customFormat="1">
      <c r="A8" s="244" t="s">
        <v>377</v>
      </c>
      <c r="B8" s="250">
        <f>0.7221/(C9*C10*1000 )</f>
        <v>7.0673383892939756E-2</v>
      </c>
      <c r="C8" s="31" t="s">
        <v>600</v>
      </c>
      <c r="D8" s="38" t="s">
        <v>375</v>
      </c>
    </row>
    <row r="9" spans="1:4" s="245" customFormat="1">
      <c r="A9" s="244"/>
      <c r="B9" s="441" t="s">
        <v>598</v>
      </c>
      <c r="C9" s="442">
        <v>3.678273E-2</v>
      </c>
      <c r="D9" s="443" t="s">
        <v>599</v>
      </c>
    </row>
    <row r="10" spans="1:4" s="245" customFormat="1">
      <c r="A10" s="244"/>
      <c r="B10" s="441" t="s">
        <v>677</v>
      </c>
      <c r="C10" s="442">
        <v>0.27777777799999998</v>
      </c>
      <c r="D10" s="443" t="s">
        <v>30</v>
      </c>
    </row>
    <row r="11" spans="1:4" s="245" customFormat="1" ht="20.25" customHeight="1">
      <c r="A11" s="246" t="s">
        <v>371</v>
      </c>
      <c r="B11" s="1"/>
      <c r="C11" s="31"/>
      <c r="D11" s="40"/>
    </row>
    <row r="12" spans="1:4" s="245" customFormat="1" ht="14.25" customHeight="1">
      <c r="B12" s="252" t="s">
        <v>373</v>
      </c>
      <c r="C12" s="31"/>
      <c r="D12" s="251" t="s">
        <v>381</v>
      </c>
    </row>
    <row r="13" spans="1:4" s="245" customFormat="1" ht="16.5" customHeight="1">
      <c r="A13" s="244" t="s">
        <v>376</v>
      </c>
      <c r="B13" s="1">
        <v>0.18</v>
      </c>
      <c r="C13" s="31" t="s">
        <v>380</v>
      </c>
      <c r="D13" s="40" t="s">
        <v>378</v>
      </c>
    </row>
    <row r="14" spans="1:4" s="245" customFormat="1" ht="15" customHeight="1">
      <c r="A14" s="244" t="s">
        <v>24</v>
      </c>
      <c r="B14" s="1">
        <v>0.05</v>
      </c>
      <c r="C14" s="31" t="s">
        <v>380</v>
      </c>
      <c r="D14" s="40" t="s">
        <v>378</v>
      </c>
    </row>
    <row r="15" spans="1:4" s="245" customFormat="1" ht="16.5" customHeight="1">
      <c r="A15" s="244" t="s">
        <v>377</v>
      </c>
      <c r="B15" s="250">
        <f>0.7001/(C17 *C16*1000)</f>
        <v>6.8520199506227841E-2</v>
      </c>
      <c r="C15" s="31" t="s">
        <v>382</v>
      </c>
      <c r="D15" s="38" t="s">
        <v>375</v>
      </c>
    </row>
    <row r="16" spans="1:4" s="245" customFormat="1" ht="16.5" customHeight="1">
      <c r="A16" s="244"/>
      <c r="B16" s="441" t="s">
        <v>598</v>
      </c>
      <c r="C16" s="442">
        <v>3.678273E-2</v>
      </c>
      <c r="D16" s="443" t="s">
        <v>599</v>
      </c>
    </row>
    <row r="17" spans="1:4" s="245" customFormat="1" ht="16.5" customHeight="1">
      <c r="A17" s="244"/>
      <c r="B17" s="441" t="s">
        <v>677</v>
      </c>
      <c r="C17" s="442">
        <v>0.27777777799999998</v>
      </c>
      <c r="D17" s="443" t="s">
        <v>30</v>
      </c>
    </row>
    <row r="18" spans="1:4" s="245" customFormat="1" ht="16.5" customHeight="1">
      <c r="A18" s="244"/>
      <c r="B18" s="441"/>
      <c r="C18" s="442"/>
      <c r="D18" s="443"/>
    </row>
    <row r="19" spans="1:4" s="245" customFormat="1" ht="16.5" customHeight="1">
      <c r="A19" s="246" t="s">
        <v>374</v>
      </c>
      <c r="C19" s="31"/>
      <c r="D19" s="40"/>
    </row>
    <row r="20" spans="1:4" s="245" customFormat="1">
      <c r="A20" s="244"/>
      <c r="B20" s="252" t="s">
        <v>536</v>
      </c>
      <c r="C20" s="31"/>
      <c r="D20" s="40"/>
    </row>
    <row r="21" spans="1:4" s="245" customFormat="1">
      <c r="A21" s="244" t="s">
        <v>525</v>
      </c>
      <c r="B21">
        <v>1.2244999999999999</v>
      </c>
      <c r="C21" s="31" t="s">
        <v>539</v>
      </c>
      <c r="D21" s="38" t="s">
        <v>375</v>
      </c>
    </row>
    <row r="22" spans="1:4" s="245" customFormat="1">
      <c r="A22" s="244" t="s">
        <v>526</v>
      </c>
      <c r="B22">
        <v>1.379</v>
      </c>
      <c r="C22" s="31" t="s">
        <v>538</v>
      </c>
      <c r="D22" s="38" t="s">
        <v>375</v>
      </c>
    </row>
    <row r="23" spans="1:4" s="245" customFormat="1">
      <c r="A23" s="244" t="s">
        <v>527</v>
      </c>
      <c r="B23">
        <v>1.4242999999999999</v>
      </c>
      <c r="C23" s="31" t="s">
        <v>537</v>
      </c>
      <c r="D23" s="38" t="s">
        <v>375</v>
      </c>
    </row>
    <row r="24" spans="1:4" s="245" customFormat="1">
      <c r="A24" s="244" t="s">
        <v>28</v>
      </c>
      <c r="B24">
        <v>0.5504</v>
      </c>
      <c r="C24" s="31" t="s">
        <v>540</v>
      </c>
      <c r="D24" s="319" t="s">
        <v>375</v>
      </c>
    </row>
    <row r="25" spans="1:4" s="245" customFormat="1">
      <c r="A25" s="244"/>
      <c r="B25" s="1"/>
      <c r="C25" s="31"/>
      <c r="D25" s="40"/>
    </row>
    <row r="26" spans="1:4" ht="15.75" thickBot="1">
      <c r="A26" s="244"/>
      <c r="B26" s="1"/>
      <c r="C26" s="31"/>
      <c r="D26" s="40"/>
    </row>
    <row r="27" spans="1:4">
      <c r="A27" s="248"/>
      <c r="B27" s="249"/>
      <c r="C27" s="249"/>
      <c r="D27" s="249"/>
    </row>
    <row r="28" spans="1:4" ht="15.75" thickBot="1">
      <c r="A28" s="244"/>
      <c r="B28" s="31"/>
      <c r="C28" s="31"/>
      <c r="D28" s="31"/>
    </row>
    <row r="29" spans="1:4" ht="15.75" thickBot="1">
      <c r="A29" s="87" t="s">
        <v>653</v>
      </c>
      <c r="B29" s="88"/>
      <c r="C29" s="88"/>
      <c r="D29" s="90"/>
    </row>
    <row r="30" spans="1:4">
      <c r="A30" s="223"/>
      <c r="B30" s="219"/>
      <c r="C30" s="219"/>
      <c r="D30" s="224"/>
    </row>
    <row r="31" spans="1:4" ht="41.25" customHeight="1">
      <c r="A31" s="808" t="s">
        <v>651</v>
      </c>
      <c r="B31" s="809"/>
      <c r="C31" s="809"/>
      <c r="D31" s="810"/>
    </row>
    <row r="32" spans="1:4">
      <c r="A32" s="71"/>
      <c r="B32" s="4"/>
      <c r="C32" s="4"/>
      <c r="D32" s="72"/>
    </row>
    <row r="33" spans="1:4">
      <c r="A33" s="71"/>
      <c r="B33" s="4"/>
      <c r="C33" s="4"/>
      <c r="D33" s="72"/>
    </row>
    <row r="34" spans="1:4">
      <c r="A34" s="71"/>
      <c r="B34" s="4"/>
      <c r="C34" s="4"/>
      <c r="D34" s="72"/>
    </row>
    <row r="35" spans="1:4">
      <c r="A35" s="71"/>
      <c r="B35" s="4"/>
      <c r="C35" s="4"/>
      <c r="D35" s="72"/>
    </row>
    <row r="36" spans="1:4">
      <c r="A36" s="71" t="s">
        <v>323</v>
      </c>
      <c r="B36" s="4"/>
      <c r="C36" s="4"/>
      <c r="D36" s="72"/>
    </row>
    <row r="37" spans="1:4">
      <c r="A37" s="71" t="s">
        <v>324</v>
      </c>
      <c r="B37" s="4" t="s">
        <v>325</v>
      </c>
      <c r="C37" s="4"/>
      <c r="D37" s="72"/>
    </row>
    <row r="38" spans="1:4">
      <c r="A38" s="71" t="s">
        <v>326</v>
      </c>
      <c r="B38" s="4" t="s">
        <v>327</v>
      </c>
      <c r="C38" s="4"/>
      <c r="D38" s="72"/>
    </row>
    <row r="39" spans="1:4">
      <c r="A39" s="71" t="s">
        <v>328</v>
      </c>
      <c r="B39" s="4" t="s">
        <v>329</v>
      </c>
      <c r="C39" s="242">
        <v>0.04</v>
      </c>
      <c r="D39" s="72"/>
    </row>
    <row r="40" spans="1:4">
      <c r="A40" s="71" t="s">
        <v>330</v>
      </c>
      <c r="B40" s="4" t="s">
        <v>331</v>
      </c>
      <c r="C40" s="4"/>
      <c r="D40" s="72"/>
    </row>
    <row r="41" spans="1:4">
      <c r="A41" s="71"/>
      <c r="B41" s="4"/>
      <c r="C41" s="4"/>
      <c r="D41" s="72"/>
    </row>
    <row r="42" spans="1:4">
      <c r="A42" s="71" t="s">
        <v>332</v>
      </c>
      <c r="B42" s="4"/>
      <c r="C42" s="4"/>
      <c r="D42" s="72"/>
    </row>
    <row r="43" spans="1:4" ht="15.75" thickBot="1">
      <c r="A43" s="7"/>
      <c r="B43" s="60"/>
      <c r="C43" s="60"/>
      <c r="D43" s="61"/>
    </row>
  </sheetData>
  <mergeCells count="1">
    <mergeCell ref="A31:D31"/>
  </mergeCells>
  <hyperlinks>
    <hyperlink ref="D24" r:id="rId1"/>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progId="Equation.3" shapeId="61441" r:id="rId5">
          <objectPr defaultSize="0" autoPict="0" r:id="rId6">
            <anchor moveWithCells="1" sizeWithCells="1">
              <from>
                <xdr:col>0</xdr:col>
                <xdr:colOff>180975</xdr:colOff>
                <xdr:row>31</xdr:row>
                <xdr:rowOff>133350</xdr:rowOff>
              </from>
              <to>
                <xdr:col>0</xdr:col>
                <xdr:colOff>1743075</xdr:colOff>
                <xdr:row>34</xdr:row>
                <xdr:rowOff>47625</xdr:rowOff>
              </to>
            </anchor>
          </objectPr>
        </oleObject>
      </mc:Choice>
      <mc:Fallback>
        <oleObject progId="Equation.3" shapeId="61441" r:id="rId5"/>
      </mc:Fallback>
    </mc:AlternateContent>
  </oleObjec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sheetPr>
  <dimension ref="A1:H28"/>
  <sheetViews>
    <sheetView topLeftCell="D1" workbookViewId="0">
      <selection activeCell="E18" sqref="E18"/>
    </sheetView>
  </sheetViews>
  <sheetFormatPr defaultColWidth="9.140625" defaultRowHeight="15"/>
  <cols>
    <col min="1" max="1" width="35.7109375" style="165" bestFit="1" customWidth="1"/>
    <col min="2" max="2" width="32.7109375" style="165" bestFit="1" customWidth="1"/>
    <col min="3" max="3" width="141.85546875" style="165" bestFit="1" customWidth="1"/>
    <col min="4" max="4" width="142.5703125" style="165" bestFit="1" customWidth="1"/>
    <col min="5" max="5" width="132.42578125" style="165" bestFit="1" customWidth="1"/>
    <col min="6" max="6" width="16.5703125" style="165" bestFit="1" customWidth="1"/>
    <col min="7" max="7" width="13.140625" style="165" bestFit="1" customWidth="1"/>
    <col min="8" max="8" width="36" style="165" bestFit="1" customWidth="1"/>
    <col min="9" max="16384" width="9.140625" style="165"/>
  </cols>
  <sheetData>
    <row r="1" spans="1:8">
      <c r="A1" s="203" t="s">
        <v>259</v>
      </c>
      <c r="B1" s="256" t="s">
        <v>260</v>
      </c>
      <c r="C1" s="203" t="s">
        <v>261</v>
      </c>
      <c r="D1" s="203" t="s">
        <v>262</v>
      </c>
      <c r="E1" s="204" t="s">
        <v>263</v>
      </c>
      <c r="F1" s="205" t="s">
        <v>264</v>
      </c>
      <c r="G1" s="205" t="s">
        <v>265</v>
      </c>
      <c r="H1" s="205" t="s">
        <v>266</v>
      </c>
    </row>
    <row r="2" spans="1:8">
      <c r="A2" s="208" t="s">
        <v>390</v>
      </c>
      <c r="B2" s="206" t="s">
        <v>601</v>
      </c>
      <c r="C2" s="208" t="s">
        <v>391</v>
      </c>
      <c r="D2" s="228" t="s">
        <v>392</v>
      </c>
      <c r="E2" s="259" t="s">
        <v>389</v>
      </c>
      <c r="F2" s="218"/>
      <c r="G2" s="218"/>
      <c r="H2" s="212"/>
    </row>
    <row r="3" spans="1:8">
      <c r="A3" s="208" t="s">
        <v>408</v>
      </c>
      <c r="B3" s="206" t="s">
        <v>410</v>
      </c>
      <c r="C3" s="208" t="s">
        <v>409</v>
      </c>
      <c r="D3" s="208" t="s">
        <v>412</v>
      </c>
      <c r="E3" s="259" t="s">
        <v>121</v>
      </c>
      <c r="F3" s="258"/>
      <c r="G3" s="258"/>
      <c r="H3" s="241"/>
    </row>
    <row r="4" spans="1:8">
      <c r="A4" s="208" t="s">
        <v>387</v>
      </c>
      <c r="B4" s="206" t="s">
        <v>354</v>
      </c>
      <c r="C4" s="208" t="s">
        <v>356</v>
      </c>
      <c r="D4" s="228" t="s">
        <v>355</v>
      </c>
      <c r="E4" s="213" t="s">
        <v>353</v>
      </c>
      <c r="F4" s="218"/>
      <c r="G4" s="218"/>
      <c r="H4" s="212"/>
    </row>
    <row r="5" spans="1:8">
      <c r="A5" s="208" t="s">
        <v>417</v>
      </c>
      <c r="B5" s="206" t="s">
        <v>532</v>
      </c>
      <c r="C5" s="208" t="s">
        <v>388</v>
      </c>
      <c r="D5" s="228" t="s">
        <v>386</v>
      </c>
      <c r="E5" s="213"/>
      <c r="F5" s="218"/>
      <c r="G5" s="218"/>
      <c r="H5" s="212"/>
    </row>
    <row r="6" spans="1:8">
      <c r="A6" s="208" t="s">
        <v>290</v>
      </c>
      <c r="B6" s="206" t="s">
        <v>291</v>
      </c>
      <c r="C6" s="208" t="s">
        <v>290</v>
      </c>
      <c r="D6" s="208" t="s">
        <v>370</v>
      </c>
      <c r="E6" s="239"/>
      <c r="F6" s="240"/>
      <c r="G6" s="240"/>
      <c r="H6" s="241"/>
    </row>
    <row r="7" spans="1:8">
      <c r="A7" s="208" t="s">
        <v>528</v>
      </c>
      <c r="B7" s="318" t="s">
        <v>533</v>
      </c>
      <c r="C7" s="208" t="s">
        <v>528</v>
      </c>
      <c r="D7" s="228" t="s">
        <v>530</v>
      </c>
      <c r="E7" s="239" t="s">
        <v>375</v>
      </c>
      <c r="F7" s="240"/>
      <c r="G7" s="240"/>
      <c r="H7" s="241"/>
    </row>
    <row r="8" spans="1:8">
      <c r="A8" s="208" t="s">
        <v>426</v>
      </c>
      <c r="B8" s="208" t="s">
        <v>531</v>
      </c>
      <c r="C8" s="208" t="s">
        <v>424</v>
      </c>
      <c r="D8" s="208" t="s">
        <v>425</v>
      </c>
      <c r="E8" s="259" t="s">
        <v>427</v>
      </c>
      <c r="F8" s="240"/>
      <c r="G8" s="240"/>
      <c r="H8" s="241"/>
    </row>
    <row r="9" spans="1:8">
      <c r="A9" s="208" t="s">
        <v>661</v>
      </c>
      <c r="B9" s="206" t="s">
        <v>411</v>
      </c>
      <c r="C9" s="208" t="s">
        <v>667</v>
      </c>
      <c r="D9" s="208" t="s">
        <v>668</v>
      </c>
      <c r="E9" s="210" t="s">
        <v>669</v>
      </c>
      <c r="F9" s="211"/>
      <c r="G9" s="211"/>
      <c r="H9" s="212"/>
    </row>
    <row r="10" spans="1:8">
      <c r="A10" s="208" t="s">
        <v>267</v>
      </c>
      <c r="B10" s="206" t="s">
        <v>268</v>
      </c>
      <c r="C10" s="208" t="s">
        <v>269</v>
      </c>
      <c r="D10" s="208" t="s">
        <v>270</v>
      </c>
      <c r="E10" s="210" t="s">
        <v>271</v>
      </c>
      <c r="F10" s="211"/>
      <c r="G10" s="211"/>
      <c r="H10" s="212"/>
    </row>
    <row r="11" spans="1:8">
      <c r="A11" s="208" t="s">
        <v>395</v>
      </c>
      <c r="B11" s="206" t="s">
        <v>411</v>
      </c>
      <c r="C11" s="208" t="s">
        <v>97</v>
      </c>
      <c r="D11" s="228" t="s">
        <v>396</v>
      </c>
      <c r="E11" s="213"/>
      <c r="F11" s="218"/>
      <c r="G11" s="218"/>
      <c r="H11" s="212"/>
    </row>
    <row r="12" spans="1:8">
      <c r="A12" s="208" t="s">
        <v>415</v>
      </c>
      <c r="B12" s="206" t="s">
        <v>411</v>
      </c>
      <c r="C12" s="208" t="s">
        <v>415</v>
      </c>
      <c r="D12" s="228" t="s">
        <v>419</v>
      </c>
      <c r="E12" s="213" t="s">
        <v>418</v>
      </c>
      <c r="F12" s="218"/>
      <c r="G12" s="218"/>
      <c r="H12" s="212"/>
    </row>
    <row r="13" spans="1:8">
      <c r="A13" s="226" t="s">
        <v>611</v>
      </c>
      <c r="B13" s="206" t="s">
        <v>613</v>
      </c>
      <c r="C13" s="226" t="s">
        <v>610</v>
      </c>
      <c r="D13" s="228" t="s">
        <v>612</v>
      </c>
      <c r="E13" s="259" t="s">
        <v>614</v>
      </c>
      <c r="F13" s="218"/>
      <c r="G13" s="218"/>
      <c r="H13" s="212"/>
    </row>
    <row r="14" spans="1:8">
      <c r="A14" s="209" t="s">
        <v>272</v>
      </c>
      <c r="B14" s="207" t="s">
        <v>273</v>
      </c>
      <c r="C14" s="209" t="s">
        <v>274</v>
      </c>
      <c r="D14" s="209" t="s">
        <v>275</v>
      </c>
      <c r="E14" s="213" t="s">
        <v>276</v>
      </c>
      <c r="F14" s="211" t="s">
        <v>277</v>
      </c>
      <c r="G14" s="211" t="s">
        <v>278</v>
      </c>
      <c r="H14" s="211" t="s">
        <v>279</v>
      </c>
    </row>
    <row r="15" spans="1:8">
      <c r="A15" s="209" t="s">
        <v>308</v>
      </c>
      <c r="B15" s="207" t="s">
        <v>516</v>
      </c>
      <c r="C15" s="209" t="s">
        <v>310</v>
      </c>
      <c r="D15" s="209" t="s">
        <v>517</v>
      </c>
      <c r="E15" s="213"/>
      <c r="F15" s="211"/>
      <c r="G15" s="211"/>
      <c r="H15" s="211"/>
    </row>
    <row r="16" spans="1:8">
      <c r="A16" s="226" t="s">
        <v>308</v>
      </c>
      <c r="B16" s="227" t="s">
        <v>344</v>
      </c>
      <c r="C16" s="226" t="s">
        <v>310</v>
      </c>
      <c r="D16" s="228" t="s">
        <v>342</v>
      </c>
      <c r="E16" s="213" t="s">
        <v>343</v>
      </c>
      <c r="F16" s="218"/>
      <c r="G16" s="218"/>
      <c r="H16" s="212"/>
    </row>
    <row r="17" spans="1:8">
      <c r="A17" s="226" t="s">
        <v>308</v>
      </c>
      <c r="B17" s="227" t="s">
        <v>348</v>
      </c>
      <c r="C17" s="226" t="s">
        <v>310</v>
      </c>
      <c r="D17" s="228" t="s">
        <v>347</v>
      </c>
      <c r="E17" s="213" t="s">
        <v>450</v>
      </c>
      <c r="F17" s="218"/>
      <c r="G17" s="218"/>
      <c r="H17" s="212"/>
    </row>
    <row r="18" spans="1:8">
      <c r="A18" s="208" t="s">
        <v>308</v>
      </c>
      <c r="B18" s="206" t="s">
        <v>309</v>
      </c>
      <c r="C18" s="208" t="s">
        <v>310</v>
      </c>
      <c r="D18" s="208" t="s">
        <v>311</v>
      </c>
      <c r="E18" s="213" t="s">
        <v>307</v>
      </c>
      <c r="F18" s="215"/>
      <c r="G18" s="215"/>
      <c r="H18" s="216"/>
    </row>
    <row r="19" spans="1:8">
      <c r="A19" s="209" t="s">
        <v>280</v>
      </c>
      <c r="B19" s="207" t="s">
        <v>281</v>
      </c>
      <c r="C19" s="209" t="s">
        <v>282</v>
      </c>
      <c r="D19" s="209" t="s">
        <v>283</v>
      </c>
      <c r="E19" s="210"/>
      <c r="F19" s="211" t="s">
        <v>284</v>
      </c>
      <c r="G19" s="211" t="s">
        <v>285</v>
      </c>
      <c r="H19" s="212" t="s">
        <v>286</v>
      </c>
    </row>
    <row r="20" spans="1:8">
      <c r="A20" s="209" t="s">
        <v>498</v>
      </c>
      <c r="B20" s="288"/>
      <c r="C20" s="209" t="s">
        <v>313</v>
      </c>
      <c r="D20" s="209" t="s">
        <v>499</v>
      </c>
      <c r="E20" s="210"/>
      <c r="F20" s="211"/>
      <c r="G20" s="211"/>
      <c r="H20" s="212"/>
    </row>
    <row r="21" spans="1:8">
      <c r="A21" s="209" t="s">
        <v>490</v>
      </c>
      <c r="B21" s="287" t="s">
        <v>531</v>
      </c>
      <c r="C21" s="209" t="s">
        <v>491</v>
      </c>
      <c r="D21" s="209" t="s">
        <v>492</v>
      </c>
      <c r="E21" s="210"/>
      <c r="F21" s="211"/>
      <c r="G21" s="211"/>
      <c r="H21" s="212"/>
    </row>
    <row r="22" spans="1:8">
      <c r="A22" s="208" t="s">
        <v>664</v>
      </c>
      <c r="B22" s="206" t="s">
        <v>287</v>
      </c>
      <c r="C22" s="208" t="s">
        <v>288</v>
      </c>
      <c r="D22" s="208" t="s">
        <v>665</v>
      </c>
      <c r="E22" s="214"/>
      <c r="F22" s="215"/>
      <c r="G22" s="215"/>
      <c r="H22" s="216"/>
    </row>
    <row r="23" spans="1:8">
      <c r="A23" s="208" t="s">
        <v>345</v>
      </c>
      <c r="B23" s="227" t="s">
        <v>337</v>
      </c>
      <c r="C23" s="226" t="s">
        <v>338</v>
      </c>
      <c r="D23" s="228" t="s">
        <v>339</v>
      </c>
      <c r="E23" s="217" t="s">
        <v>340</v>
      </c>
      <c r="F23" s="218"/>
      <c r="G23" s="218"/>
      <c r="H23" s="212"/>
    </row>
    <row r="24" spans="1:8">
      <c r="A24" s="208" t="s">
        <v>312</v>
      </c>
      <c r="B24" s="227" t="s">
        <v>602</v>
      </c>
      <c r="C24" s="226" t="s">
        <v>313</v>
      </c>
      <c r="D24" s="228" t="s">
        <v>314</v>
      </c>
      <c r="E24" s="217"/>
      <c r="F24" s="218" t="s">
        <v>315</v>
      </c>
      <c r="G24" s="218" t="s">
        <v>316</v>
      </c>
      <c r="H24" s="212" t="s">
        <v>317</v>
      </c>
    </row>
    <row r="25" spans="1:8">
      <c r="A25" s="226" t="s">
        <v>358</v>
      </c>
      <c r="B25" s="227" t="s">
        <v>359</v>
      </c>
      <c r="C25" s="226" t="s">
        <v>360</v>
      </c>
      <c r="D25" s="228" t="s">
        <v>361</v>
      </c>
      <c r="E25" s="217" t="s">
        <v>362</v>
      </c>
      <c r="F25" s="218" t="s">
        <v>315</v>
      </c>
      <c r="G25" s="218" t="s">
        <v>316</v>
      </c>
      <c r="H25" s="212" t="s">
        <v>317</v>
      </c>
    </row>
    <row r="26" spans="1:8">
      <c r="A26" s="226" t="s">
        <v>407</v>
      </c>
      <c r="B26" s="227" t="s">
        <v>287</v>
      </c>
      <c r="C26" s="226" t="s">
        <v>406</v>
      </c>
      <c r="D26" s="228" t="s">
        <v>405</v>
      </c>
      <c r="E26" s="259" t="s">
        <v>420</v>
      </c>
      <c r="F26" s="218"/>
      <c r="G26" s="218"/>
      <c r="H26" s="212"/>
    </row>
    <row r="27" spans="1:8">
      <c r="A27" s="226" t="s">
        <v>529</v>
      </c>
      <c r="B27" s="227" t="s">
        <v>533</v>
      </c>
      <c r="C27" s="226" t="s">
        <v>535</v>
      </c>
      <c r="D27" s="228" t="s">
        <v>534</v>
      </c>
      <c r="E27" s="259" t="s">
        <v>378</v>
      </c>
      <c r="F27" s="218"/>
      <c r="G27" s="218"/>
      <c r="H27" s="212"/>
    </row>
    <row r="28" spans="1:8">
      <c r="A28" s="226" t="s">
        <v>658</v>
      </c>
      <c r="B28" s="226" t="s">
        <v>657</v>
      </c>
      <c r="C28" s="226" t="s">
        <v>656</v>
      </c>
      <c r="D28" s="228" t="s">
        <v>655</v>
      </c>
      <c r="E28" s="259" t="s">
        <v>659</v>
      </c>
      <c r="F28" s="218"/>
      <c r="G28" s="218"/>
      <c r="H28" s="212"/>
    </row>
  </sheetData>
  <hyperlinks>
    <hyperlink ref="E14" r:id="rId1"/>
    <hyperlink ref="H19" r:id="rId2"/>
    <hyperlink ref="E18" r:id="rId3"/>
    <hyperlink ref="H24" r:id="rId4"/>
    <hyperlink ref="E16" r:id="rId5"/>
    <hyperlink ref="E4" r:id="rId6"/>
    <hyperlink ref="H25" r:id="rId7"/>
    <hyperlink ref="E3" r:id="rId8"/>
    <hyperlink ref="E26" r:id="rId9"/>
    <hyperlink ref="E8" r:id="rId10"/>
    <hyperlink ref="E27" r:id="rId11"/>
    <hyperlink ref="E2" r:id="rId12"/>
    <hyperlink ref="E13" r:id="rId13"/>
    <hyperlink ref="E9" r:id="rId14"/>
  </hyperlinks>
  <pageMargins left="0.7" right="0.7" top="0.75" bottom="0.75" header="0.3" footer="0.3"/>
  <pageSetup paperSize="9" orientation="portrait" r:id="rId1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selection activeCell="D18" sqref="D18"/>
    </sheetView>
  </sheetViews>
  <sheetFormatPr defaultRowHeight="15"/>
  <cols>
    <col min="1" max="1" width="8" bestFit="1" customWidth="1"/>
    <col min="2" max="2" width="10.7109375" bestFit="1" customWidth="1"/>
    <col min="3" max="3" width="112.140625" bestFit="1" customWidth="1"/>
    <col min="4" max="4" width="24.7109375" bestFit="1" customWidth="1"/>
  </cols>
  <sheetData>
    <row r="1" spans="1:4">
      <c r="A1" s="747" t="s">
        <v>727</v>
      </c>
      <c r="B1" s="747" t="s">
        <v>728</v>
      </c>
      <c r="C1" s="747" t="s">
        <v>729</v>
      </c>
      <c r="D1" s="747" t="s">
        <v>730</v>
      </c>
    </row>
    <row r="2" spans="1:4">
      <c r="A2" t="s">
        <v>735</v>
      </c>
      <c r="B2" s="748">
        <v>41715</v>
      </c>
      <c r="C2" t="s">
        <v>731</v>
      </c>
      <c r="D2" s="749" t="s">
        <v>732</v>
      </c>
    </row>
    <row r="3" spans="1:4">
      <c r="A3" t="s">
        <v>735</v>
      </c>
      <c r="B3" s="748">
        <v>41715</v>
      </c>
      <c r="C3" t="s">
        <v>733</v>
      </c>
      <c r="D3" s="749" t="s">
        <v>734</v>
      </c>
    </row>
    <row r="4" spans="1:4">
      <c r="A4" t="s">
        <v>736</v>
      </c>
      <c r="B4" s="748">
        <v>41759</v>
      </c>
      <c r="C4" t="s">
        <v>738</v>
      </c>
      <c r="D4" s="749" t="s">
        <v>737</v>
      </c>
    </row>
  </sheetData>
  <hyperlinks>
    <hyperlink ref="D2" location="'MTRG HUISHOUDENS'!A1" display="'MTRG HUISHOUDENS'!A1"/>
    <hyperlink ref="D3" location="'BAU 2020'!A1" display="'BAU 2020'!A1"/>
    <hyperlink ref="D4" location="'MTRG HUISHOUDENS'!A1" display="'MTRG HUISHOUDENS'!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sheetPr>
  <dimension ref="A1:C15"/>
  <sheetViews>
    <sheetView showGridLines="0" workbookViewId="0">
      <selection activeCell="B25" sqref="B25"/>
    </sheetView>
  </sheetViews>
  <sheetFormatPr defaultRowHeight="15"/>
  <cols>
    <col min="1" max="1" width="61.85546875" customWidth="1"/>
    <col min="2" max="2" width="89.85546875" customWidth="1"/>
    <col min="3" max="3" width="90" customWidth="1"/>
  </cols>
  <sheetData>
    <row r="1" spans="1:3" s="1" customFormat="1" ht="61.5" customHeight="1">
      <c r="A1" s="185" t="s">
        <v>632</v>
      </c>
      <c r="B1" s="67"/>
      <c r="C1" s="68"/>
    </row>
    <row r="2" spans="1:3" s="2" customFormat="1" ht="15.75">
      <c r="A2" s="42"/>
      <c r="B2" s="18"/>
      <c r="C2" s="43"/>
    </row>
    <row r="3" spans="1:3">
      <c r="A3" s="35" t="s">
        <v>79</v>
      </c>
      <c r="B3" s="17" t="s">
        <v>85</v>
      </c>
      <c r="C3" s="44" t="s">
        <v>84</v>
      </c>
    </row>
    <row r="4" spans="1:3">
      <c r="A4" s="69"/>
      <c r="B4" s="5"/>
      <c r="C4" s="38"/>
    </row>
    <row r="5" spans="1:3">
      <c r="A5" s="69"/>
      <c r="B5" s="5"/>
      <c r="C5" s="38"/>
    </row>
    <row r="6" spans="1:3" ht="30">
      <c r="A6" s="481" t="s">
        <v>169</v>
      </c>
      <c r="B6" s="28" t="s">
        <v>444</v>
      </c>
      <c r="C6" s="260" t="s">
        <v>445</v>
      </c>
    </row>
    <row r="7" spans="1:3" ht="45">
      <c r="A7" s="481" t="s">
        <v>364</v>
      </c>
      <c r="B7" s="28" t="s">
        <v>366</v>
      </c>
      <c r="C7" s="70" t="s">
        <v>365</v>
      </c>
    </row>
    <row r="8" spans="1:3">
      <c r="A8" s="499"/>
      <c r="B8" s="16"/>
      <c r="C8" s="46"/>
    </row>
    <row r="9" spans="1:3" ht="45">
      <c r="A9" s="481" t="s">
        <v>367</v>
      </c>
      <c r="B9" s="28" t="s">
        <v>637</v>
      </c>
      <c r="C9" s="70" t="s">
        <v>365</v>
      </c>
    </row>
    <row r="10" spans="1:3">
      <c r="A10" s="499"/>
      <c r="B10" s="16"/>
      <c r="C10" s="46"/>
    </row>
    <row r="11" spans="1:3" ht="45">
      <c r="A11" s="481" t="s">
        <v>368</v>
      </c>
      <c r="B11" s="28" t="s">
        <v>636</v>
      </c>
      <c r="C11" s="70" t="s">
        <v>365</v>
      </c>
    </row>
    <row r="12" spans="1:3">
      <c r="A12" s="499"/>
      <c r="B12" s="16"/>
      <c r="C12" s="46"/>
    </row>
    <row r="13" spans="1:3" ht="30">
      <c r="A13" s="481" t="s">
        <v>369</v>
      </c>
      <c r="B13" s="28" t="s">
        <v>638</v>
      </c>
      <c r="C13" s="70" t="s">
        <v>365</v>
      </c>
    </row>
    <row r="14" spans="1:3">
      <c r="A14" s="191"/>
      <c r="B14" s="192"/>
      <c r="C14" s="193"/>
    </row>
    <row r="15" spans="1:3" ht="21">
      <c r="A15" s="474" t="s">
        <v>631</v>
      </c>
      <c r="B15" s="16"/>
      <c r="C15" s="46"/>
    </row>
  </sheetData>
  <sheetProtection password="849B" sheet="1" objects="1" scenarios="1"/>
  <hyperlinks>
    <hyperlink ref="A7" location="'MTRG HUISHOUDENS'!A1" display="MTRG HUISHOUDENS"/>
    <hyperlink ref="A11" location="'MTRG TRANSPORT'!A1" display="MTRG TRANSPORT"/>
    <hyperlink ref="A9" location="'MTRG TERTIAIR'!A1" display="MTRG TERTIAIR"/>
    <hyperlink ref="A13" location="'MTRG LOKALE ENERGIEPRODUCTIE'!A1" display="MTRG LOKALE ENERGIEPRODUCTIE"/>
    <hyperlink ref="A6" location="'BAU 2020'!A1" display="BAU 202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9"/>
  </sheetPr>
  <dimension ref="A1:Q83"/>
  <sheetViews>
    <sheetView showGridLines="0" workbookViewId="0">
      <selection activeCell="B64" sqref="B64"/>
    </sheetView>
  </sheetViews>
  <sheetFormatPr defaultColWidth="9.140625" defaultRowHeight="15" outlineLevelRow="1"/>
  <cols>
    <col min="1" max="1" width="35.7109375" style="262" bestFit="1" customWidth="1"/>
    <col min="2" max="2" width="18.28515625" style="262" customWidth="1"/>
    <col min="3" max="3" width="15.42578125" style="262" bestFit="1" customWidth="1"/>
    <col min="4" max="4" width="16.42578125" style="262" customWidth="1"/>
    <col min="5" max="5" width="16.28515625" style="262" customWidth="1"/>
    <col min="6" max="8" width="9.140625" style="262"/>
    <col min="9" max="9" width="14.28515625" style="262" customWidth="1"/>
    <col min="10" max="10" width="18.5703125" style="262" customWidth="1"/>
    <col min="11" max="11" width="15.140625" style="262" customWidth="1"/>
    <col min="12" max="12" width="15.42578125" style="262" customWidth="1"/>
    <col min="13" max="13" width="17" style="262" customWidth="1"/>
    <col min="14" max="14" width="16.42578125" style="262" customWidth="1"/>
    <col min="15" max="15" width="13.42578125" style="262" customWidth="1"/>
    <col min="16" max="16" width="18.28515625" style="262" customWidth="1"/>
    <col min="17" max="17" width="10.5703125" style="262" bestFit="1" customWidth="1"/>
    <col min="18" max="16384" width="9.140625" style="262"/>
  </cols>
  <sheetData>
    <row r="1" spans="1:17" s="273" customFormat="1" outlineLevel="1">
      <c r="A1" s="286" t="s">
        <v>702</v>
      </c>
      <c r="B1" s="286"/>
      <c r="C1" s="286"/>
      <c r="D1" s="286"/>
      <c r="E1" s="286"/>
      <c r="F1" s="286"/>
      <c r="G1" s="286"/>
      <c r="H1" s="286"/>
      <c r="I1" s="286"/>
      <c r="J1" s="286"/>
      <c r="K1" s="286"/>
      <c r="L1" s="286"/>
      <c r="M1" s="286"/>
      <c r="N1" s="286"/>
      <c r="O1" s="286"/>
      <c r="P1" s="286"/>
      <c r="Q1" s="286"/>
    </row>
    <row r="2" spans="1:17" outlineLevel="1"/>
    <row r="3" spans="1:17" ht="15.75" outlineLevel="1">
      <c r="A3" s="765" t="s">
        <v>429</v>
      </c>
      <c r="B3" s="766" t="s">
        <v>430</v>
      </c>
      <c r="C3" s="766"/>
      <c r="D3" s="766"/>
      <c r="E3" s="766"/>
      <c r="F3" s="766"/>
      <c r="G3" s="766"/>
      <c r="H3" s="766"/>
      <c r="I3" s="766"/>
      <c r="J3" s="766"/>
      <c r="K3" s="766"/>
      <c r="L3" s="766"/>
      <c r="M3" s="766"/>
      <c r="N3" s="766"/>
      <c r="O3" s="766"/>
      <c r="P3" s="767"/>
      <c r="Q3" s="261"/>
    </row>
    <row r="4" spans="1:17" outlineLevel="1">
      <c r="A4" s="765"/>
      <c r="B4" s="768" t="s">
        <v>2</v>
      </c>
      <c r="C4" s="770" t="s">
        <v>31</v>
      </c>
      <c r="D4" s="772" t="s">
        <v>32</v>
      </c>
      <c r="E4" s="773"/>
      <c r="F4" s="773"/>
      <c r="G4" s="773"/>
      <c r="H4" s="773"/>
      <c r="I4" s="773"/>
      <c r="J4" s="773"/>
      <c r="K4" s="769"/>
      <c r="L4" s="772" t="s">
        <v>33</v>
      </c>
      <c r="M4" s="773"/>
      <c r="N4" s="773"/>
      <c r="O4" s="773"/>
      <c r="P4" s="769"/>
      <c r="Q4" s="261"/>
    </row>
    <row r="5" spans="1:17" ht="45" outlineLevel="1">
      <c r="A5" s="765"/>
      <c r="B5" s="769"/>
      <c r="C5" s="771"/>
      <c r="D5" s="261" t="s">
        <v>34</v>
      </c>
      <c r="E5" s="261" t="s">
        <v>35</v>
      </c>
      <c r="F5" s="261" t="s">
        <v>36</v>
      </c>
      <c r="G5" s="261" t="s">
        <v>37</v>
      </c>
      <c r="H5" s="261" t="s">
        <v>29</v>
      </c>
      <c r="I5" s="261" t="s">
        <v>38</v>
      </c>
      <c r="J5" s="261" t="s">
        <v>39</v>
      </c>
      <c r="K5" s="261" t="s">
        <v>40</v>
      </c>
      <c r="L5" s="261" t="s">
        <v>41</v>
      </c>
      <c r="M5" s="261" t="s">
        <v>42</v>
      </c>
      <c r="N5" s="261" t="s">
        <v>43</v>
      </c>
      <c r="O5" s="261" t="s">
        <v>44</v>
      </c>
      <c r="P5" s="261" t="s">
        <v>45</v>
      </c>
      <c r="Q5" s="261" t="s">
        <v>27</v>
      </c>
    </row>
    <row r="6" spans="1:17" outlineLevel="1">
      <c r="A6" s="263" t="s">
        <v>431</v>
      </c>
      <c r="B6" s="10">
        <f>'Nulmeting 2011'!B4</f>
        <v>37450.698305203099</v>
      </c>
      <c r="C6" s="10">
        <f>'Nulmeting 2011'!C4</f>
        <v>0</v>
      </c>
      <c r="D6" s="10">
        <f>'Nulmeting 2011'!D4</f>
        <v>126041.54106442082</v>
      </c>
      <c r="E6" s="10">
        <f>'Nulmeting 2011'!E4</f>
        <v>710.59664248632873</v>
      </c>
      <c r="F6" s="10">
        <f>'Nulmeting 2011'!F4</f>
        <v>12965.277392357542</v>
      </c>
      <c r="G6" s="10">
        <f>'Nulmeting 2011'!G4</f>
        <v>0</v>
      </c>
      <c r="H6" s="10">
        <f>'Nulmeting 2011'!H4</f>
        <v>0</v>
      </c>
      <c r="I6" s="10">
        <f>'Nulmeting 2011'!I4</f>
        <v>0</v>
      </c>
      <c r="J6" s="10">
        <f>'Nulmeting 2011'!J4</f>
        <v>0</v>
      </c>
      <c r="K6" s="10">
        <f>'Nulmeting 2011'!K4</f>
        <v>0</v>
      </c>
      <c r="L6" s="10">
        <f>'Nulmeting 2011'!L4</f>
        <v>0</v>
      </c>
      <c r="M6" s="10">
        <f>'Nulmeting 2011'!M4</f>
        <v>0</v>
      </c>
      <c r="N6" s="10">
        <f>'Nulmeting 2011'!N4</f>
        <v>4240.4994311859937</v>
      </c>
      <c r="O6" s="10">
        <f>'Nulmeting 2011'!O4</f>
        <v>85.983333333333334</v>
      </c>
      <c r="P6" s="10">
        <f>'Nulmeting 2011'!P4</f>
        <v>0</v>
      </c>
      <c r="Q6" s="265">
        <f>SUM(B6:P6)</f>
        <v>181494.5961689871</v>
      </c>
    </row>
    <row r="7" spans="1:17" outlineLevel="1">
      <c r="A7" s="263" t="s">
        <v>432</v>
      </c>
      <c r="B7" s="10">
        <f>'Nulmeting 2011'!B5</f>
        <v>27824.135442457016</v>
      </c>
      <c r="C7" s="10">
        <f>'Nulmeting 2011'!C5</f>
        <v>0</v>
      </c>
      <c r="D7" s="10">
        <f>'Nulmeting 2011'!D5</f>
        <v>36858.708666211503</v>
      </c>
      <c r="E7" s="10">
        <f>'Nulmeting 2011'!E5</f>
        <v>541.09072511852162</v>
      </c>
      <c r="F7" s="10">
        <f>'Nulmeting 2011'!F5</f>
        <v>5515.0611170163829</v>
      </c>
      <c r="G7" s="10">
        <f>'Nulmeting 2011'!G5</f>
        <v>0</v>
      </c>
      <c r="H7" s="10">
        <f>'Nulmeting 2011'!H5</f>
        <v>0</v>
      </c>
      <c r="I7" s="10">
        <f>'Nulmeting 2011'!I5</f>
        <v>0</v>
      </c>
      <c r="J7" s="10">
        <f>'Nulmeting 2011'!J5</f>
        <v>0</v>
      </c>
      <c r="K7" s="10">
        <f>'Nulmeting 2011'!K5</f>
        <v>0</v>
      </c>
      <c r="L7" s="10">
        <f>'Nulmeting 2011'!L5</f>
        <v>0</v>
      </c>
      <c r="M7" s="10">
        <f>'Nulmeting 2011'!M5</f>
        <v>0</v>
      </c>
      <c r="N7" s="10">
        <f>'Nulmeting 2011'!N5</f>
        <v>515.58947484055921</v>
      </c>
      <c r="O7" s="10">
        <f>'Nulmeting 2011'!O5</f>
        <v>1.5633333333333335</v>
      </c>
      <c r="P7" s="10">
        <f>'Nulmeting 2011'!P5</f>
        <v>0</v>
      </c>
      <c r="Q7" s="266">
        <f t="shared" ref="Q7:Q15" si="0">SUM(B7:P7)</f>
        <v>71256.148758977317</v>
      </c>
    </row>
    <row r="8" spans="1:17" outlineLevel="1">
      <c r="A8" s="263" t="s">
        <v>433</v>
      </c>
      <c r="B8" s="10">
        <f>'Nulmeting 2011'!B6</f>
        <v>12.993000000000052</v>
      </c>
      <c r="C8" s="10">
        <f>'Nulmeting 2011'!C6</f>
        <v>0</v>
      </c>
      <c r="D8" s="10">
        <f>'Nulmeting 2011'!D6</f>
        <v>0</v>
      </c>
      <c r="E8" s="10">
        <f>'Nulmeting 2011'!E6</f>
        <v>0</v>
      </c>
      <c r="F8" s="10">
        <f>'Nulmeting 2011'!F6</f>
        <v>0</v>
      </c>
      <c r="G8" s="10">
        <f>'Nulmeting 2011'!G6</f>
        <v>0</v>
      </c>
      <c r="H8" s="10">
        <f>'Nulmeting 2011'!H6</f>
        <v>0</v>
      </c>
      <c r="I8" s="10">
        <f>'Nulmeting 2011'!I6</f>
        <v>0</v>
      </c>
      <c r="J8" s="10">
        <f>'Nulmeting 2011'!J6</f>
        <v>0</v>
      </c>
      <c r="K8" s="10">
        <f>'Nulmeting 2011'!K6</f>
        <v>0</v>
      </c>
      <c r="L8" s="10">
        <f>'Nulmeting 2011'!L6</f>
        <v>0</v>
      </c>
      <c r="M8" s="10">
        <f>'Nulmeting 2011'!M6</f>
        <v>0</v>
      </c>
      <c r="N8" s="10">
        <f>'Nulmeting 2011'!N6</f>
        <v>0</v>
      </c>
      <c r="O8" s="10">
        <f>'Nulmeting 2011'!O6</f>
        <v>0</v>
      </c>
      <c r="P8" s="10">
        <f>'Nulmeting 2011'!P6</f>
        <v>0</v>
      </c>
      <c r="Q8" s="266">
        <f t="shared" si="0"/>
        <v>12.993000000000052</v>
      </c>
    </row>
    <row r="9" spans="1:17" outlineLevel="1">
      <c r="A9" s="263" t="s">
        <v>434</v>
      </c>
      <c r="B9" s="10">
        <f>'Nulmeting 2011'!B7</f>
        <v>174.20639361104381</v>
      </c>
      <c r="C9" s="10">
        <f>'Nulmeting 2011'!C7</f>
        <v>0</v>
      </c>
      <c r="D9" s="10">
        <f>'Nulmeting 2011'!D7</f>
        <v>6455.8248683048605</v>
      </c>
      <c r="E9" s="10">
        <f>'Nulmeting 2011'!E7</f>
        <v>1.8243270680410937</v>
      </c>
      <c r="F9" s="10">
        <f>'Nulmeting 2011'!F7</f>
        <v>894.75177547173803</v>
      </c>
      <c r="G9" s="10">
        <f>'Nulmeting 2011'!G7</f>
        <v>0</v>
      </c>
      <c r="H9" s="10">
        <f>'Nulmeting 2011'!H7</f>
        <v>0</v>
      </c>
      <c r="I9" s="10">
        <f>'Nulmeting 2011'!I7</f>
        <v>0</v>
      </c>
      <c r="J9" s="10">
        <f>'Nulmeting 2011'!J7</f>
        <v>15.558192388009759</v>
      </c>
      <c r="K9" s="10">
        <f>'Nulmeting 2011'!K7</f>
        <v>0</v>
      </c>
      <c r="L9" s="10">
        <f>'Nulmeting 2011'!L7</f>
        <v>0</v>
      </c>
      <c r="M9" s="10">
        <f>'Nulmeting 2011'!M7</f>
        <v>0</v>
      </c>
      <c r="N9" s="10">
        <f>'Nulmeting 2011'!N7</f>
        <v>0</v>
      </c>
      <c r="O9" s="10">
        <f>'Nulmeting 2011'!O7</f>
        <v>0</v>
      </c>
      <c r="P9" s="10">
        <f>'Nulmeting 2011'!P7</f>
        <v>0</v>
      </c>
      <c r="Q9" s="266">
        <f t="shared" si="0"/>
        <v>7542.1655568436936</v>
      </c>
    </row>
    <row r="10" spans="1:17" outlineLevel="1">
      <c r="A10" s="263" t="s">
        <v>435</v>
      </c>
      <c r="B10" s="10">
        <f>'Nulmeting 2011'!B8</f>
        <v>2087.9345772822685</v>
      </c>
      <c r="C10" s="10">
        <f>'Nulmeting 2011'!C8</f>
        <v>0</v>
      </c>
      <c r="D10" s="10">
        <f>'Nulmeting 2011'!D8</f>
        <v>322056.8081434943</v>
      </c>
      <c r="E10" s="10">
        <f>'Nulmeting 2011'!E8</f>
        <v>24.339969835937236</v>
      </c>
      <c r="F10" s="10">
        <f>'Nulmeting 2011'!F8</f>
        <v>858.79223362133735</v>
      </c>
      <c r="G10" s="10">
        <f>'Nulmeting 2011'!G8</f>
        <v>0</v>
      </c>
      <c r="H10" s="10">
        <f>'Nulmeting 2011'!H8</f>
        <v>0</v>
      </c>
      <c r="I10" s="10">
        <f>'Nulmeting 2011'!I8</f>
        <v>0</v>
      </c>
      <c r="J10" s="10">
        <f>'Nulmeting 2011'!J8</f>
        <v>6.0109829516180202</v>
      </c>
      <c r="K10" s="10">
        <f>'Nulmeting 2011'!K8</f>
        <v>0</v>
      </c>
      <c r="L10" s="10">
        <f>'Nulmeting 2011'!L8</f>
        <v>0</v>
      </c>
      <c r="M10" s="10">
        <f>'Nulmeting 2011'!M8</f>
        <v>0</v>
      </c>
      <c r="N10" s="10">
        <f>'Nulmeting 2011'!N8</f>
        <v>80.420311207402676</v>
      </c>
      <c r="O10" s="10">
        <f>'Nulmeting 2011'!O8</f>
        <v>0</v>
      </c>
      <c r="P10" s="10">
        <f>'Nulmeting 2011'!P8</f>
        <v>0</v>
      </c>
      <c r="Q10" s="266">
        <f t="shared" si="0"/>
        <v>325114.30621839291</v>
      </c>
    </row>
    <row r="11" spans="1:17" outlineLevel="1">
      <c r="A11" s="263" t="s">
        <v>436</v>
      </c>
      <c r="B11" s="10">
        <f>'Nulmeting 2011'!B9</f>
        <v>8.8116273934525188E-2</v>
      </c>
      <c r="C11" s="10"/>
      <c r="D11" s="10">
        <f>'Nulmeting 2011'!D9</f>
        <v>0.81730772719880651</v>
      </c>
      <c r="E11" s="10">
        <f>'Nulmeting 2011'!E9</f>
        <v>357.59391536594677</v>
      </c>
      <c r="F11" s="10"/>
      <c r="G11" s="10">
        <f>'Nulmeting 2011'!G9</f>
        <v>45868.458128061393</v>
      </c>
      <c r="H11" s="10">
        <f>'Nulmeting 2011'!H9</f>
        <v>9397.6910100153455</v>
      </c>
      <c r="I11" s="10"/>
      <c r="J11" s="10"/>
      <c r="K11" s="10"/>
      <c r="L11" s="10"/>
      <c r="M11" s="10">
        <f>'Nulmeting 2011'!M9</f>
        <v>2277.2376523888015</v>
      </c>
      <c r="N11" s="10"/>
      <c r="O11" s="10"/>
      <c r="P11" s="10"/>
      <c r="Q11" s="266">
        <f t="shared" si="0"/>
        <v>57901.886129832623</v>
      </c>
    </row>
    <row r="12" spans="1:17" outlineLevel="1">
      <c r="A12" s="263" t="s">
        <v>437</v>
      </c>
      <c r="B12" s="10">
        <f>'Nulmeting 2011'!B10</f>
        <v>1414.5300829497046</v>
      </c>
      <c r="C12" s="10"/>
      <c r="D12" s="10">
        <f>'Nulmeting 2011'!D10</f>
        <v>0</v>
      </c>
      <c r="E12" s="10">
        <f>'Nulmeting 2011'!E10</f>
        <v>0</v>
      </c>
      <c r="F12" s="10"/>
      <c r="G12" s="10">
        <f>'Nulmeting 2011'!G10</f>
        <v>732.84836028957807</v>
      </c>
      <c r="H12" s="10">
        <f>'Nulmeting 2011'!H10</f>
        <v>0</v>
      </c>
      <c r="I12" s="10"/>
      <c r="J12" s="10"/>
      <c r="K12" s="10"/>
      <c r="L12" s="10"/>
      <c r="M12" s="10">
        <f>'Nulmeting 2011'!M10</f>
        <v>42.036371485295788</v>
      </c>
      <c r="N12" s="10"/>
      <c r="O12" s="10"/>
      <c r="P12" s="10"/>
      <c r="Q12" s="266">
        <f t="shared" si="0"/>
        <v>2189.4148147245783</v>
      </c>
    </row>
    <row r="13" spans="1:17" outlineLevel="1">
      <c r="A13" s="263" t="s">
        <v>438</v>
      </c>
      <c r="B13" s="10">
        <f>'Nulmeting 2011'!B11</f>
        <v>1737.6089999999999</v>
      </c>
      <c r="C13" s="10">
        <f>'Nulmeting 2011'!C11</f>
        <v>0</v>
      </c>
      <c r="D13" s="10">
        <f>'Nulmeting 2011'!D11</f>
        <v>6528.5060000000003</v>
      </c>
      <c r="E13" s="10">
        <f>'Nulmeting 2011'!E11</f>
        <v>0</v>
      </c>
      <c r="F13" s="10">
        <f>'Nulmeting 2011'!F11</f>
        <v>302.08058675036102</v>
      </c>
      <c r="G13" s="10">
        <f>'Nulmeting 2011'!G11</f>
        <v>0</v>
      </c>
      <c r="H13" s="10">
        <f>'Nulmeting 2011'!H11</f>
        <v>0</v>
      </c>
      <c r="I13" s="10">
        <f>'Nulmeting 2011'!I11</f>
        <v>0</v>
      </c>
      <c r="J13" s="10">
        <f>'Nulmeting 2011'!J11</f>
        <v>0</v>
      </c>
      <c r="K13" s="10">
        <f>'Nulmeting 2011'!K11</f>
        <v>0</v>
      </c>
      <c r="L13" s="10">
        <f>'Nulmeting 2011'!L11</f>
        <v>0</v>
      </c>
      <c r="M13" s="10">
        <f>'Nulmeting 2011'!M11</f>
        <v>0</v>
      </c>
      <c r="N13" s="10">
        <f>'Nulmeting 2011'!N11</f>
        <v>0</v>
      </c>
      <c r="O13" s="10">
        <f>'Nulmeting 2011'!O11</f>
        <v>0</v>
      </c>
      <c r="P13" s="10">
        <f>'Nulmeting 2011'!P11</f>
        <v>0</v>
      </c>
      <c r="Q13" s="266">
        <f t="shared" si="0"/>
        <v>8568.1955867503602</v>
      </c>
    </row>
    <row r="14" spans="1:17" outlineLevel="1">
      <c r="A14" s="263" t="s">
        <v>439</v>
      </c>
      <c r="B14" s="10">
        <f>'Nulmeting 2011'!B12</f>
        <v>1015.888</v>
      </c>
      <c r="C14" s="10">
        <f>'Nulmeting 2011'!C12</f>
        <v>0</v>
      </c>
      <c r="D14" s="10">
        <f>'Nulmeting 2011'!D12</f>
        <v>0</v>
      </c>
      <c r="E14" s="10">
        <f>'Nulmeting 2011'!E12</f>
        <v>0</v>
      </c>
      <c r="F14" s="10">
        <f>'Nulmeting 2011'!F12</f>
        <v>0</v>
      </c>
      <c r="G14" s="10">
        <f>'Nulmeting 2011'!G12</f>
        <v>0</v>
      </c>
      <c r="H14" s="10">
        <f>'Nulmeting 2011'!H12</f>
        <v>0</v>
      </c>
      <c r="I14" s="10">
        <f>'Nulmeting 2011'!I12</f>
        <v>0</v>
      </c>
      <c r="J14" s="10">
        <f>'Nulmeting 2011'!J12</f>
        <v>0</v>
      </c>
      <c r="K14" s="10">
        <f>'Nulmeting 2011'!K12</f>
        <v>0</v>
      </c>
      <c r="L14" s="10">
        <f>'Nulmeting 2011'!L12</f>
        <v>0</v>
      </c>
      <c r="M14" s="10">
        <f>'Nulmeting 2011'!M12</f>
        <v>0</v>
      </c>
      <c r="N14" s="10">
        <f>'Nulmeting 2011'!N12</f>
        <v>0</v>
      </c>
      <c r="O14" s="10">
        <f>'Nulmeting 2011'!O12</f>
        <v>0</v>
      </c>
      <c r="P14" s="10">
        <f>'Nulmeting 2011'!P12</f>
        <v>0</v>
      </c>
      <c r="Q14" s="266">
        <f t="shared" si="0"/>
        <v>1015.888</v>
      </c>
    </row>
    <row r="15" spans="1:17" outlineLevel="1">
      <c r="A15" s="267" t="s">
        <v>440</v>
      </c>
      <c r="B15" s="10">
        <f>'Nulmeting 2011'!B13</f>
        <v>0</v>
      </c>
      <c r="C15" s="10">
        <f>'Nulmeting 2011'!C13</f>
        <v>0</v>
      </c>
      <c r="D15" s="10">
        <f>'Nulmeting 2011'!D13</f>
        <v>0</v>
      </c>
      <c r="E15" s="10">
        <f>'Nulmeting 2011'!E13</f>
        <v>56.267056850603758</v>
      </c>
      <c r="F15" s="10">
        <f>'Nulmeting 2011'!F13</f>
        <v>0</v>
      </c>
      <c r="G15" s="10">
        <f>'Nulmeting 2011'!G13</f>
        <v>327.88452098768346</v>
      </c>
      <c r="H15" s="10">
        <f>'Nulmeting 2011'!H13</f>
        <v>40.526913156461553</v>
      </c>
      <c r="I15" s="10">
        <f>'Nulmeting 2011'!I13</f>
        <v>0</v>
      </c>
      <c r="J15" s="10">
        <f>'Nulmeting 2011'!J13</f>
        <v>0</v>
      </c>
      <c r="K15" s="10">
        <f>'Nulmeting 2011'!K13</f>
        <v>0</v>
      </c>
      <c r="L15" s="10">
        <f>'Nulmeting 2011'!L13</f>
        <v>0</v>
      </c>
      <c r="M15" s="10">
        <f>'Nulmeting 2011'!M13</f>
        <v>0</v>
      </c>
      <c r="N15" s="10">
        <f>'Nulmeting 2011'!N13</f>
        <v>0</v>
      </c>
      <c r="O15" s="10">
        <f>'Nulmeting 2011'!O13</f>
        <v>0</v>
      </c>
      <c r="P15" s="10">
        <f>'Nulmeting 2011'!P13</f>
        <v>0</v>
      </c>
      <c r="Q15" s="269">
        <f t="shared" si="0"/>
        <v>424.67849099474876</v>
      </c>
    </row>
    <row r="16" spans="1:17" s="273" customFormat="1" outlineLevel="1">
      <c r="A16" s="270" t="s">
        <v>441</v>
      </c>
      <c r="B16" s="271">
        <f>SUM(B6:B15)</f>
        <v>71718.082917777065</v>
      </c>
      <c r="C16" s="271">
        <f t="shared" ref="C16:Q16" si="1">SUM(C6:C15)</f>
        <v>0</v>
      </c>
      <c r="D16" s="271">
        <f t="shared" si="1"/>
        <v>497942.20605015865</v>
      </c>
      <c r="E16" s="271">
        <f t="shared" si="1"/>
        <v>1691.7126367253791</v>
      </c>
      <c r="F16" s="271">
        <f t="shared" si="1"/>
        <v>20535.963105217365</v>
      </c>
      <c r="G16" s="271">
        <f t="shared" si="1"/>
        <v>46929.191009338654</v>
      </c>
      <c r="H16" s="271">
        <f t="shared" si="1"/>
        <v>9438.2179231718073</v>
      </c>
      <c r="I16" s="271">
        <f t="shared" si="1"/>
        <v>0</v>
      </c>
      <c r="J16" s="271">
        <f t="shared" si="1"/>
        <v>21.56917533962778</v>
      </c>
      <c r="K16" s="271">
        <f t="shared" si="1"/>
        <v>0</v>
      </c>
      <c r="L16" s="271">
        <f t="shared" si="1"/>
        <v>0</v>
      </c>
      <c r="M16" s="271">
        <f t="shared" si="1"/>
        <v>2319.2740238740971</v>
      </c>
      <c r="N16" s="271">
        <f t="shared" si="1"/>
        <v>4836.5092172339555</v>
      </c>
      <c r="O16" s="271">
        <f t="shared" si="1"/>
        <v>87.546666666666667</v>
      </c>
      <c r="P16" s="272">
        <f t="shared" si="1"/>
        <v>0</v>
      </c>
      <c r="Q16" s="272">
        <f t="shared" si="1"/>
        <v>655520.27272550331</v>
      </c>
    </row>
    <row r="17" spans="1:17" outlineLevel="1"/>
    <row r="18" spans="1:17" outlineLevel="1">
      <c r="A18" s="274" t="s">
        <v>442</v>
      </c>
      <c r="B18" s="275">
        <f>'Nulmeting 2011'!B16</f>
        <v>0.20531165224649006</v>
      </c>
      <c r="C18" s="275">
        <f>'Nulmeting 2011'!C16</f>
        <v>0</v>
      </c>
      <c r="D18" s="275">
        <f>'Nulmeting 2011'!D16</f>
        <v>0.20200000000000001</v>
      </c>
      <c r="E18" s="275">
        <f>'Nulmeting 2011'!E16</f>
        <v>0.22700000000000001</v>
      </c>
      <c r="F18" s="275">
        <f>'Nulmeting 2011'!F16</f>
        <v>0.26700000000000002</v>
      </c>
      <c r="G18" s="275">
        <f>'Nulmeting 2011'!G16</f>
        <v>0.26700000000000002</v>
      </c>
      <c r="H18" s="275">
        <f>'Nulmeting 2011'!H16</f>
        <v>0.249</v>
      </c>
      <c r="I18" s="275">
        <f>'Nulmeting 2011'!I16</f>
        <v>0.35099999999999998</v>
      </c>
      <c r="J18" s="275">
        <f>'Nulmeting 2011'!J16</f>
        <v>0.35399999999999998</v>
      </c>
      <c r="K18" s="275">
        <f>'Nulmeting 2011'!K16</f>
        <v>0.26400000000000001</v>
      </c>
      <c r="L18" s="275">
        <f>'Nulmeting 2011'!L16</f>
        <v>0</v>
      </c>
      <c r="M18" s="275">
        <f>'Nulmeting 2011'!M16</f>
        <v>0</v>
      </c>
      <c r="N18" s="275">
        <f>'Nulmeting 2011'!N16</f>
        <v>0</v>
      </c>
      <c r="O18" s="275">
        <f>'Nulmeting 2011'!O16</f>
        <v>0</v>
      </c>
      <c r="P18" s="275">
        <f>'Nulmeting 2011'!P16</f>
        <v>0</v>
      </c>
    </row>
    <row r="19" spans="1:17" outlineLevel="1"/>
    <row r="20" spans="1:17" ht="15" customHeight="1" outlineLevel="1">
      <c r="A20" s="765" t="s">
        <v>448</v>
      </c>
      <c r="B20" s="766" t="s">
        <v>446</v>
      </c>
      <c r="C20" s="766"/>
      <c r="D20" s="766"/>
      <c r="E20" s="766"/>
      <c r="F20" s="766"/>
      <c r="G20" s="766"/>
      <c r="H20" s="766"/>
      <c r="I20" s="766"/>
      <c r="J20" s="766"/>
      <c r="K20" s="766"/>
      <c r="L20" s="766"/>
      <c r="M20" s="766"/>
      <c r="N20" s="766"/>
      <c r="O20" s="766"/>
      <c r="P20" s="767"/>
      <c r="Q20" s="261"/>
    </row>
    <row r="21" spans="1:17" outlineLevel="1">
      <c r="A21" s="765"/>
      <c r="B21" s="768" t="s">
        <v>2</v>
      </c>
      <c r="C21" s="770" t="s">
        <v>31</v>
      </c>
      <c r="D21" s="772" t="s">
        <v>32</v>
      </c>
      <c r="E21" s="773"/>
      <c r="F21" s="773"/>
      <c r="G21" s="773"/>
      <c r="H21" s="773"/>
      <c r="I21" s="773"/>
      <c r="J21" s="773"/>
      <c r="K21" s="769"/>
      <c r="L21" s="772" t="s">
        <v>33</v>
      </c>
      <c r="M21" s="773"/>
      <c r="N21" s="773"/>
      <c r="O21" s="773"/>
      <c r="P21" s="769"/>
      <c r="Q21" s="261"/>
    </row>
    <row r="22" spans="1:17" ht="45" outlineLevel="1">
      <c r="A22" s="765"/>
      <c r="B22" s="769"/>
      <c r="C22" s="771"/>
      <c r="D22" s="261" t="s">
        <v>34</v>
      </c>
      <c r="E22" s="261" t="s">
        <v>35</v>
      </c>
      <c r="F22" s="261" t="s">
        <v>36</v>
      </c>
      <c r="G22" s="261" t="s">
        <v>37</v>
      </c>
      <c r="H22" s="261" t="s">
        <v>29</v>
      </c>
      <c r="I22" s="261" t="s">
        <v>38</v>
      </c>
      <c r="J22" s="261" t="s">
        <v>39</v>
      </c>
      <c r="K22" s="261" t="s">
        <v>40</v>
      </c>
      <c r="L22" s="261" t="s">
        <v>41</v>
      </c>
      <c r="M22" s="261" t="s">
        <v>42</v>
      </c>
      <c r="N22" s="261" t="s">
        <v>43</v>
      </c>
      <c r="O22" s="261" t="s">
        <v>44</v>
      </c>
      <c r="P22" s="261" t="s">
        <v>45</v>
      </c>
      <c r="Q22" s="261" t="s">
        <v>27</v>
      </c>
    </row>
    <row r="23" spans="1:17" outlineLevel="1">
      <c r="A23" s="263" t="s">
        <v>431</v>
      </c>
      <c r="B23" s="10">
        <f>B6*$B$18</f>
        <v>7689.0647468260731</v>
      </c>
      <c r="C23" s="10">
        <f>C6*$C$18</f>
        <v>0</v>
      </c>
      <c r="D23" s="10">
        <f>D6*$D$18</f>
        <v>25460.391295013007</v>
      </c>
      <c r="E23" s="10">
        <f>E6*$E$18</f>
        <v>161.30543784439664</v>
      </c>
      <c r="F23" s="10">
        <f>F6*$F$18</f>
        <v>3461.7290637594642</v>
      </c>
      <c r="G23" s="10">
        <f>G6*$G$18</f>
        <v>0</v>
      </c>
      <c r="H23" s="10">
        <f>H6*$H$18</f>
        <v>0</v>
      </c>
      <c r="I23" s="10">
        <f>I6*$I$18</f>
        <v>0</v>
      </c>
      <c r="J23" s="10">
        <f>J6*$J$18</f>
        <v>0</v>
      </c>
      <c r="K23" s="10">
        <f>K6*$K$18</f>
        <v>0</v>
      </c>
      <c r="L23" s="10">
        <f>L6*$L$18</f>
        <v>0</v>
      </c>
      <c r="M23" s="10">
        <f>M6*$M$18</f>
        <v>0</v>
      </c>
      <c r="N23" s="10">
        <f>N6*$N$18</f>
        <v>0</v>
      </c>
      <c r="O23" s="10">
        <f>O6*$O$18</f>
        <v>0</v>
      </c>
      <c r="P23" s="276">
        <f>P6*$P$18</f>
        <v>0</v>
      </c>
      <c r="Q23" s="265">
        <f>SUM(B23:P23)</f>
        <v>36772.490543442946</v>
      </c>
    </row>
    <row r="24" spans="1:17" outlineLevel="1">
      <c r="A24" s="263" t="s">
        <v>432</v>
      </c>
      <c r="B24" s="10">
        <f t="shared" ref="B24:B32" si="2">B7*$B$18</f>
        <v>5712.6192200209734</v>
      </c>
      <c r="C24" s="10">
        <f t="shared" ref="C24:C32" si="3">C7*$C$18</f>
        <v>0</v>
      </c>
      <c r="D24" s="10">
        <f t="shared" ref="D24:D32" si="4">D7*$D$18</f>
        <v>7445.4591505747239</v>
      </c>
      <c r="E24" s="10">
        <f t="shared" ref="E24:E32" si="5">E7*$E$18</f>
        <v>122.82759460190441</v>
      </c>
      <c r="F24" s="10">
        <f t="shared" ref="F24:F32" si="6">F7*$F$18</f>
        <v>1472.5213182433743</v>
      </c>
      <c r="G24" s="10">
        <f t="shared" ref="G24:G32" si="7">G7*$G$18</f>
        <v>0</v>
      </c>
      <c r="H24" s="10">
        <f t="shared" ref="H24:H32" si="8">H7*$H$18</f>
        <v>0</v>
      </c>
      <c r="I24" s="10">
        <f t="shared" ref="I24:I32" si="9">I7*$I$18</f>
        <v>0</v>
      </c>
      <c r="J24" s="10">
        <f t="shared" ref="J24:J32" si="10">J7*$J$18</f>
        <v>0</v>
      </c>
      <c r="K24" s="10">
        <f t="shared" ref="K24:K32" si="11">K7*$K$18</f>
        <v>0</v>
      </c>
      <c r="L24" s="10">
        <f t="shared" ref="L24:L32" si="12">L7*$L$18</f>
        <v>0</v>
      </c>
      <c r="M24" s="10">
        <f t="shared" ref="M24:M32" si="13">M7*$M$18</f>
        <v>0</v>
      </c>
      <c r="N24" s="10">
        <f t="shared" ref="N24:N32" si="14">N7*$N$18</f>
        <v>0</v>
      </c>
      <c r="O24" s="10">
        <f t="shared" ref="O24:O32" si="15">O7*$O$18</f>
        <v>0</v>
      </c>
      <c r="P24" s="264">
        <f t="shared" ref="P24:P32" si="16">P7*$P$18</f>
        <v>0</v>
      </c>
      <c r="Q24" s="266">
        <f t="shared" ref="Q24:Q32" si="17">SUM(B24:P24)</f>
        <v>14753.427283440975</v>
      </c>
    </row>
    <row r="25" spans="1:17" outlineLevel="1">
      <c r="A25" s="263" t="s">
        <v>433</v>
      </c>
      <c r="B25" s="10">
        <f>B8*$B$18</f>
        <v>2.6676142976386559</v>
      </c>
      <c r="C25" s="10">
        <f t="shared" si="3"/>
        <v>0</v>
      </c>
      <c r="D25" s="10">
        <f t="shared" si="4"/>
        <v>0</v>
      </c>
      <c r="E25" s="10">
        <f t="shared" si="5"/>
        <v>0</v>
      </c>
      <c r="F25" s="10">
        <f t="shared" si="6"/>
        <v>0</v>
      </c>
      <c r="G25" s="10">
        <f t="shared" si="7"/>
        <v>0</v>
      </c>
      <c r="H25" s="10">
        <f t="shared" si="8"/>
        <v>0</v>
      </c>
      <c r="I25" s="10">
        <f t="shared" si="9"/>
        <v>0</v>
      </c>
      <c r="J25" s="10">
        <f t="shared" si="10"/>
        <v>0</v>
      </c>
      <c r="K25" s="10">
        <f t="shared" si="11"/>
        <v>0</v>
      </c>
      <c r="L25" s="10">
        <f t="shared" si="12"/>
        <v>0</v>
      </c>
      <c r="M25" s="10">
        <f t="shared" si="13"/>
        <v>0</v>
      </c>
      <c r="N25" s="10">
        <f t="shared" si="14"/>
        <v>0</v>
      </c>
      <c r="O25" s="10">
        <f t="shared" si="15"/>
        <v>0</v>
      </c>
      <c r="P25" s="264">
        <f t="shared" si="16"/>
        <v>0</v>
      </c>
      <c r="Q25" s="266">
        <f t="shared" si="17"/>
        <v>2.6676142976386559</v>
      </c>
    </row>
    <row r="26" spans="1:17" outlineLevel="1">
      <c r="A26" s="263" t="s">
        <v>434</v>
      </c>
      <c r="B26" s="10">
        <f t="shared" si="2"/>
        <v>35.766602504185798</v>
      </c>
      <c r="C26" s="10">
        <f t="shared" si="3"/>
        <v>0</v>
      </c>
      <c r="D26" s="10">
        <f t="shared" si="4"/>
        <v>1304.0766233975819</v>
      </c>
      <c r="E26" s="10">
        <f t="shared" si="5"/>
        <v>0.4141222444453283</v>
      </c>
      <c r="F26" s="10">
        <f t="shared" si="6"/>
        <v>238.89872405095406</v>
      </c>
      <c r="G26" s="10">
        <f t="shared" si="7"/>
        <v>0</v>
      </c>
      <c r="H26" s="10">
        <f t="shared" si="8"/>
        <v>0</v>
      </c>
      <c r="I26" s="10">
        <f t="shared" si="9"/>
        <v>0</v>
      </c>
      <c r="J26" s="10">
        <f t="shared" si="10"/>
        <v>5.5076001053554542</v>
      </c>
      <c r="K26" s="10">
        <f t="shared" si="11"/>
        <v>0</v>
      </c>
      <c r="L26" s="10">
        <f t="shared" si="12"/>
        <v>0</v>
      </c>
      <c r="M26" s="10">
        <f t="shared" si="13"/>
        <v>0</v>
      </c>
      <c r="N26" s="10">
        <f t="shared" si="14"/>
        <v>0</v>
      </c>
      <c r="O26" s="10">
        <f t="shared" si="15"/>
        <v>0</v>
      </c>
      <c r="P26" s="264">
        <f t="shared" si="16"/>
        <v>0</v>
      </c>
      <c r="Q26" s="266">
        <f t="shared" si="17"/>
        <v>1584.6636723025226</v>
      </c>
    </row>
    <row r="27" spans="1:17" outlineLevel="1">
      <c r="A27" s="263" t="s">
        <v>435</v>
      </c>
      <c r="B27" s="10">
        <f t="shared" si="2"/>
        <v>428.67729784439933</v>
      </c>
      <c r="C27" s="10">
        <f t="shared" si="3"/>
        <v>0</v>
      </c>
      <c r="D27" s="10">
        <f t="shared" si="4"/>
        <v>65055.47524498585</v>
      </c>
      <c r="E27" s="10">
        <f t="shared" si="5"/>
        <v>5.5251731527577528</v>
      </c>
      <c r="F27" s="10">
        <f t="shared" si="6"/>
        <v>229.29752637689708</v>
      </c>
      <c r="G27" s="10">
        <f t="shared" si="7"/>
        <v>0</v>
      </c>
      <c r="H27" s="10">
        <f t="shared" si="8"/>
        <v>0</v>
      </c>
      <c r="I27" s="10">
        <f t="shared" si="9"/>
        <v>0</v>
      </c>
      <c r="J27" s="10">
        <f t="shared" si="10"/>
        <v>2.1278879648727789</v>
      </c>
      <c r="K27" s="10">
        <f t="shared" si="11"/>
        <v>0</v>
      </c>
      <c r="L27" s="10">
        <f t="shared" si="12"/>
        <v>0</v>
      </c>
      <c r="M27" s="10">
        <f t="shared" si="13"/>
        <v>0</v>
      </c>
      <c r="N27" s="10">
        <f t="shared" si="14"/>
        <v>0</v>
      </c>
      <c r="O27" s="10">
        <f t="shared" si="15"/>
        <v>0</v>
      </c>
      <c r="P27" s="264">
        <f t="shared" si="16"/>
        <v>0</v>
      </c>
      <c r="Q27" s="266">
        <f t="shared" si="17"/>
        <v>65721.103130324787</v>
      </c>
    </row>
    <row r="28" spans="1:17" outlineLevel="1">
      <c r="A28" s="263" t="s">
        <v>436</v>
      </c>
      <c r="B28" s="10">
        <f>B11*$B$18</f>
        <v>1.8091297791301694E-2</v>
      </c>
      <c r="C28" s="10"/>
      <c r="D28" s="10">
        <f t="shared" si="4"/>
        <v>0.16509616089415893</v>
      </c>
      <c r="E28" s="10">
        <f t="shared" si="5"/>
        <v>81.173818788069923</v>
      </c>
      <c r="F28" s="10"/>
      <c r="G28" s="10">
        <f t="shared" si="7"/>
        <v>12246.878320192392</v>
      </c>
      <c r="H28" s="10">
        <f t="shared" si="8"/>
        <v>2340.0250614938209</v>
      </c>
      <c r="I28" s="10"/>
      <c r="J28" s="10"/>
      <c r="K28" s="10"/>
      <c r="L28" s="10"/>
      <c r="M28" s="10">
        <f t="shared" si="13"/>
        <v>0</v>
      </c>
      <c r="N28" s="10"/>
      <c r="O28" s="10"/>
      <c r="P28" s="264"/>
      <c r="Q28" s="266">
        <f t="shared" si="17"/>
        <v>14668.260387932969</v>
      </c>
    </row>
    <row r="29" spans="1:17" outlineLevel="1">
      <c r="A29" s="263" t="s">
        <v>437</v>
      </c>
      <c r="B29" s="10">
        <f t="shared" si="2"/>
        <v>290.41950848276849</v>
      </c>
      <c r="C29" s="10"/>
      <c r="D29" s="10">
        <f t="shared" si="4"/>
        <v>0</v>
      </c>
      <c r="E29" s="10">
        <f t="shared" si="5"/>
        <v>0</v>
      </c>
      <c r="F29" s="10"/>
      <c r="G29" s="10">
        <f t="shared" si="7"/>
        <v>195.67051219731735</v>
      </c>
      <c r="H29" s="10">
        <f t="shared" si="8"/>
        <v>0</v>
      </c>
      <c r="I29" s="10"/>
      <c r="J29" s="10"/>
      <c r="K29" s="10"/>
      <c r="L29" s="10"/>
      <c r="M29" s="10">
        <f t="shared" si="13"/>
        <v>0</v>
      </c>
      <c r="N29" s="10"/>
      <c r="O29" s="10"/>
      <c r="P29" s="264"/>
      <c r="Q29" s="266">
        <f t="shared" si="17"/>
        <v>486.09002068008584</v>
      </c>
    </row>
    <row r="30" spans="1:17" outlineLevel="1">
      <c r="A30" s="263" t="s">
        <v>438</v>
      </c>
      <c r="B30" s="10">
        <f t="shared" si="2"/>
        <v>356.75137474837135</v>
      </c>
      <c r="C30" s="10">
        <f t="shared" si="3"/>
        <v>0</v>
      </c>
      <c r="D30" s="10">
        <f t="shared" si="4"/>
        <v>1318.7582120000002</v>
      </c>
      <c r="E30" s="10">
        <f t="shared" si="5"/>
        <v>0</v>
      </c>
      <c r="F30" s="10">
        <f t="shared" si="6"/>
        <v>80.6555166623464</v>
      </c>
      <c r="G30" s="10">
        <f t="shared" si="7"/>
        <v>0</v>
      </c>
      <c r="H30" s="10">
        <f t="shared" si="8"/>
        <v>0</v>
      </c>
      <c r="I30" s="10">
        <f t="shared" si="9"/>
        <v>0</v>
      </c>
      <c r="J30" s="10">
        <f t="shared" si="10"/>
        <v>0</v>
      </c>
      <c r="K30" s="10">
        <f t="shared" si="11"/>
        <v>0</v>
      </c>
      <c r="L30" s="10">
        <f t="shared" si="12"/>
        <v>0</v>
      </c>
      <c r="M30" s="10">
        <f t="shared" si="13"/>
        <v>0</v>
      </c>
      <c r="N30" s="10">
        <f t="shared" si="14"/>
        <v>0</v>
      </c>
      <c r="O30" s="10">
        <f t="shared" si="15"/>
        <v>0</v>
      </c>
      <c r="P30" s="264">
        <f t="shared" si="16"/>
        <v>0</v>
      </c>
      <c r="Q30" s="266">
        <f t="shared" si="17"/>
        <v>1756.1651034107178</v>
      </c>
    </row>
    <row r="31" spans="1:17" outlineLevel="1">
      <c r="A31" s="263" t="s">
        <v>439</v>
      </c>
      <c r="B31" s="10">
        <f t="shared" si="2"/>
        <v>208.5736437773823</v>
      </c>
      <c r="C31" s="10">
        <f t="shared" si="3"/>
        <v>0</v>
      </c>
      <c r="D31" s="10">
        <f t="shared" si="4"/>
        <v>0</v>
      </c>
      <c r="E31" s="10">
        <f t="shared" si="5"/>
        <v>0</v>
      </c>
      <c r="F31" s="10">
        <f t="shared" si="6"/>
        <v>0</v>
      </c>
      <c r="G31" s="10">
        <f t="shared" si="7"/>
        <v>0</v>
      </c>
      <c r="H31" s="10">
        <f t="shared" si="8"/>
        <v>0</v>
      </c>
      <c r="I31" s="10">
        <f t="shared" si="9"/>
        <v>0</v>
      </c>
      <c r="J31" s="10">
        <f t="shared" si="10"/>
        <v>0</v>
      </c>
      <c r="K31" s="10">
        <f t="shared" si="11"/>
        <v>0</v>
      </c>
      <c r="L31" s="10">
        <f t="shared" si="12"/>
        <v>0</v>
      </c>
      <c r="M31" s="10">
        <f t="shared" si="13"/>
        <v>0</v>
      </c>
      <c r="N31" s="10">
        <f t="shared" si="14"/>
        <v>0</v>
      </c>
      <c r="O31" s="10">
        <f t="shared" si="15"/>
        <v>0</v>
      </c>
      <c r="P31" s="264">
        <f t="shared" si="16"/>
        <v>0</v>
      </c>
      <c r="Q31" s="266">
        <f t="shared" si="17"/>
        <v>208.5736437773823</v>
      </c>
    </row>
    <row r="32" spans="1:17" outlineLevel="1">
      <c r="A32" s="267" t="s">
        <v>440</v>
      </c>
      <c r="B32" s="10">
        <f t="shared" si="2"/>
        <v>0</v>
      </c>
      <c r="C32" s="10">
        <f t="shared" si="3"/>
        <v>0</v>
      </c>
      <c r="D32" s="10">
        <f t="shared" si="4"/>
        <v>0</v>
      </c>
      <c r="E32" s="10">
        <f t="shared" si="5"/>
        <v>12.772621905087053</v>
      </c>
      <c r="F32" s="10">
        <f t="shared" si="6"/>
        <v>0</v>
      </c>
      <c r="G32" s="10">
        <f t="shared" si="7"/>
        <v>87.545167103711492</v>
      </c>
      <c r="H32" s="10">
        <f t="shared" si="8"/>
        <v>10.091201375958926</v>
      </c>
      <c r="I32" s="10">
        <f t="shared" si="9"/>
        <v>0</v>
      </c>
      <c r="J32" s="10">
        <f t="shared" si="10"/>
        <v>0</v>
      </c>
      <c r="K32" s="10">
        <f t="shared" si="11"/>
        <v>0</v>
      </c>
      <c r="L32" s="10">
        <f t="shared" si="12"/>
        <v>0</v>
      </c>
      <c r="M32" s="10">
        <f t="shared" si="13"/>
        <v>0</v>
      </c>
      <c r="N32" s="10">
        <f t="shared" si="14"/>
        <v>0</v>
      </c>
      <c r="O32" s="10">
        <f t="shared" si="15"/>
        <v>0</v>
      </c>
      <c r="P32" s="268">
        <f t="shared" si="16"/>
        <v>0</v>
      </c>
      <c r="Q32" s="269">
        <f t="shared" si="17"/>
        <v>110.40899038475747</v>
      </c>
    </row>
    <row r="33" spans="1:17" s="273" customFormat="1" outlineLevel="1">
      <c r="A33" s="270" t="s">
        <v>441</v>
      </c>
      <c r="B33" s="271">
        <f>SUM(B23:B32)</f>
        <v>14724.558099799584</v>
      </c>
      <c r="C33" s="271">
        <f t="shared" ref="C33:Q33" si="18">SUM(C23:C32)</f>
        <v>0</v>
      </c>
      <c r="D33" s="271">
        <f t="shared" si="18"/>
        <v>100584.32562213206</v>
      </c>
      <c r="E33" s="271">
        <f t="shared" si="18"/>
        <v>384.01876853666113</v>
      </c>
      <c r="F33" s="271">
        <f t="shared" si="18"/>
        <v>5483.1021490930361</v>
      </c>
      <c r="G33" s="271">
        <f t="shared" si="18"/>
        <v>12530.093999493422</v>
      </c>
      <c r="H33" s="271">
        <f t="shared" si="18"/>
        <v>2350.1162628697798</v>
      </c>
      <c r="I33" s="271">
        <f t="shared" si="18"/>
        <v>0</v>
      </c>
      <c r="J33" s="271">
        <f t="shared" si="18"/>
        <v>7.6354880702282326</v>
      </c>
      <c r="K33" s="271">
        <f t="shared" si="18"/>
        <v>0</v>
      </c>
      <c r="L33" s="271">
        <f t="shared" si="18"/>
        <v>0</v>
      </c>
      <c r="M33" s="271">
        <f t="shared" si="18"/>
        <v>0</v>
      </c>
      <c r="N33" s="271">
        <f t="shared" si="18"/>
        <v>0</v>
      </c>
      <c r="O33" s="271">
        <f t="shared" si="18"/>
        <v>0</v>
      </c>
      <c r="P33" s="272">
        <f t="shared" si="18"/>
        <v>0</v>
      </c>
      <c r="Q33" s="272">
        <f t="shared" si="18"/>
        <v>136063.85038999474</v>
      </c>
    </row>
    <row r="34" spans="1:17" outlineLevel="1"/>
    <row r="35" spans="1:17" s="273" customFormat="1">
      <c r="A35" s="286" t="s">
        <v>688</v>
      </c>
      <c r="B35" s="286"/>
      <c r="C35" s="286"/>
      <c r="D35" s="286"/>
      <c r="E35" s="286"/>
      <c r="F35" s="286"/>
      <c r="G35" s="286"/>
      <c r="H35" s="286"/>
      <c r="I35" s="286"/>
      <c r="J35" s="286"/>
      <c r="K35" s="286"/>
      <c r="L35" s="286"/>
      <c r="M35" s="286"/>
      <c r="N35" s="286"/>
      <c r="O35" s="286"/>
      <c r="P35" s="286"/>
      <c r="Q35" s="286"/>
    </row>
    <row r="36" spans="1:17" outlineLevel="1"/>
    <row r="37" spans="1:17" ht="15.75" customHeight="1" outlineLevel="1">
      <c r="A37" s="765" t="s">
        <v>429</v>
      </c>
      <c r="B37" s="766" t="s">
        <v>430</v>
      </c>
      <c r="C37" s="766"/>
      <c r="D37" s="766"/>
      <c r="E37" s="766"/>
      <c r="F37" s="766"/>
      <c r="G37" s="766"/>
      <c r="H37" s="766"/>
      <c r="I37" s="766"/>
      <c r="J37" s="766"/>
      <c r="K37" s="766"/>
      <c r="L37" s="766"/>
      <c r="M37" s="766"/>
      <c r="N37" s="766"/>
      <c r="O37" s="766"/>
      <c r="P37" s="767"/>
      <c r="Q37" s="261"/>
    </row>
    <row r="38" spans="1:17" ht="15" customHeight="1" outlineLevel="1">
      <c r="A38" s="765"/>
      <c r="B38" s="768" t="s">
        <v>2</v>
      </c>
      <c r="C38" s="770" t="s">
        <v>31</v>
      </c>
      <c r="D38" s="772" t="s">
        <v>32</v>
      </c>
      <c r="E38" s="773"/>
      <c r="F38" s="773"/>
      <c r="G38" s="773"/>
      <c r="H38" s="773"/>
      <c r="I38" s="773"/>
      <c r="J38" s="773"/>
      <c r="K38" s="769"/>
      <c r="L38" s="772" t="s">
        <v>33</v>
      </c>
      <c r="M38" s="773"/>
      <c r="N38" s="773"/>
      <c r="O38" s="773"/>
      <c r="P38" s="769"/>
      <c r="Q38" s="261"/>
    </row>
    <row r="39" spans="1:17" ht="45" outlineLevel="1">
      <c r="A39" s="765"/>
      <c r="B39" s="769"/>
      <c r="C39" s="771"/>
      <c r="D39" s="261" t="s">
        <v>34</v>
      </c>
      <c r="E39" s="261" t="s">
        <v>35</v>
      </c>
      <c r="F39" s="261" t="s">
        <v>36</v>
      </c>
      <c r="G39" s="261" t="s">
        <v>37</v>
      </c>
      <c r="H39" s="261" t="s">
        <v>29</v>
      </c>
      <c r="I39" s="261" t="s">
        <v>38</v>
      </c>
      <c r="J39" s="261" t="s">
        <v>39</v>
      </c>
      <c r="K39" s="261" t="s">
        <v>40</v>
      </c>
      <c r="L39" s="261" t="s">
        <v>41</v>
      </c>
      <c r="M39" s="261" t="s">
        <v>42</v>
      </c>
      <c r="N39" s="261" t="s">
        <v>43</v>
      </c>
      <c r="O39" s="261" t="s">
        <v>44</v>
      </c>
      <c r="P39" s="261" t="s">
        <v>45</v>
      </c>
      <c r="Q39" s="261" t="s">
        <v>27</v>
      </c>
    </row>
    <row r="40" spans="1:17" outlineLevel="1">
      <c r="A40" s="263" t="s">
        <v>431</v>
      </c>
      <c r="B40" s="10">
        <f>'MTRG HUISHOUDENS'!B180+'MTRG HUISHOUDENS'!B181+'MTRG HUISHOUDENS'!B182</f>
        <v>38968.868760650279</v>
      </c>
      <c r="C40" s="10">
        <f>'MTRG HUISHOUDENS'!C180+'MTRG HUISHOUDENS'!C181+'MTRG HUISHOUDENS'!C182</f>
        <v>0</v>
      </c>
      <c r="D40" s="10">
        <f>'MTRG HUISHOUDENS'!D180+'MTRG HUISHOUDENS'!D181+'MTRG HUISHOUDENS'!D182</f>
        <v>133842.43756314652</v>
      </c>
      <c r="E40" s="10">
        <f>'MTRG HUISHOUDENS'!E180+'MTRG HUISHOUDENS'!E181+'MTRG HUISHOUDENS'!E182</f>
        <v>754.43689049570253</v>
      </c>
      <c r="F40" s="10">
        <f>'MTRG HUISHOUDENS'!F180+'MTRG HUISHOUDENS'!F181+'MTRG HUISHOUDENS'!F182</f>
        <v>13765.16996488995</v>
      </c>
      <c r="G40" s="10">
        <f>'MTRG HUISHOUDENS'!G180+'MTRG HUISHOUDENS'!G181+'MTRG HUISHOUDENS'!G182</f>
        <v>0</v>
      </c>
      <c r="H40" s="10">
        <f>'MTRG HUISHOUDENS'!H180+'MTRG HUISHOUDENS'!H181+'MTRG HUISHOUDENS'!H182</f>
        <v>0</v>
      </c>
      <c r="I40" s="10">
        <f>'MTRG HUISHOUDENS'!I180+'MTRG HUISHOUDENS'!I181+'MTRG HUISHOUDENS'!I182</f>
        <v>0</v>
      </c>
      <c r="J40" s="10">
        <f>'MTRG HUISHOUDENS'!J180+'MTRG HUISHOUDENS'!J181+'MTRG HUISHOUDENS'!J182</f>
        <v>0</v>
      </c>
      <c r="K40" s="10">
        <f>'MTRG HUISHOUDENS'!K180+'MTRG HUISHOUDENS'!K181+'MTRG HUISHOUDENS'!K182</f>
        <v>0</v>
      </c>
      <c r="L40" s="10">
        <f>'MTRG HUISHOUDENS'!L180+'MTRG HUISHOUDENS'!L181+'MTRG HUISHOUDENS'!L182</f>
        <v>0</v>
      </c>
      <c r="M40" s="10">
        <f>'MTRG HUISHOUDENS'!M180+'MTRG HUISHOUDENS'!M181+'MTRG HUISHOUDENS'!M182</f>
        <v>0</v>
      </c>
      <c r="N40" s="10">
        <f>'MTRG HUISHOUDENS'!N180+'MTRG HUISHOUDENS'!N181+'MTRG HUISHOUDENS'!N182</f>
        <v>4502.1169728849445</v>
      </c>
      <c r="O40" s="10">
        <f>'MTRG HUISHOUDENS'!O180+'MTRG HUISHOUDENS'!O181+'MTRG HUISHOUDENS'!O182</f>
        <v>98.602065778066745</v>
      </c>
      <c r="P40" s="10">
        <f>'MTRG HUISHOUDENS'!P180+'MTRG HUISHOUDENS'!P181+'MTRG HUISHOUDENS'!P182</f>
        <v>14.98326328125</v>
      </c>
      <c r="Q40" s="265">
        <f>SUM(B40:P40)</f>
        <v>191946.61548112673</v>
      </c>
    </row>
    <row r="41" spans="1:17" outlineLevel="1">
      <c r="A41" s="263" t="s">
        <v>432</v>
      </c>
      <c r="B41" s="10">
        <f>'MTRG TERTIAIR'!B123+'MTRG TERTIAIR'!B122+'MTRG TERTIAIR'!B121</f>
        <v>27011.656586876379</v>
      </c>
      <c r="C41" s="10">
        <f>'MTRG TERTIAIR'!C123+'MTRG TERTIAIR'!C122+'MTRG TERTIAIR'!C121</f>
        <v>0</v>
      </c>
      <c r="D41" s="10">
        <f>'MTRG TERTIAIR'!D123+'MTRG TERTIAIR'!D122+'MTRG TERTIAIR'!D121</f>
        <v>35221.973894377224</v>
      </c>
      <c r="E41" s="10">
        <f>'MTRG TERTIAIR'!E123+'MTRG TERTIAIR'!E122+'MTRG TERTIAIR'!E121</f>
        <v>513.19334257920252</v>
      </c>
      <c r="F41" s="10">
        <f>'MTRG TERTIAIR'!F123+'MTRG TERTIAIR'!F122+'MTRG TERTIAIR'!F121</f>
        <v>5230.7173599219886</v>
      </c>
      <c r="G41" s="10">
        <f>'MTRG TERTIAIR'!G123+'MTRG TERTIAIR'!G122+'MTRG TERTIAIR'!G121</f>
        <v>0</v>
      </c>
      <c r="H41" s="10">
        <f>'MTRG TERTIAIR'!H123+'MTRG TERTIAIR'!H122+'MTRG TERTIAIR'!H121</f>
        <v>0</v>
      </c>
      <c r="I41" s="10">
        <f>'MTRG TERTIAIR'!I123+'MTRG TERTIAIR'!I122+'MTRG TERTIAIR'!I121</f>
        <v>0</v>
      </c>
      <c r="J41" s="10">
        <f>'MTRG TERTIAIR'!J123+'MTRG TERTIAIR'!J122+'MTRG TERTIAIR'!J121</f>
        <v>0</v>
      </c>
      <c r="K41" s="10">
        <f>'MTRG TERTIAIR'!K123+'MTRG TERTIAIR'!K122+'MTRG TERTIAIR'!K121</f>
        <v>0</v>
      </c>
      <c r="L41" s="10">
        <f>'MTRG TERTIAIR'!L123+'MTRG TERTIAIR'!L122+'MTRG TERTIAIR'!L121</f>
        <v>0</v>
      </c>
      <c r="M41" s="10">
        <f>'MTRG TERTIAIR'!M123+'MTRG TERTIAIR'!M122+'MTRG TERTIAIR'!M121</f>
        <v>0</v>
      </c>
      <c r="N41" s="10">
        <f>'MTRG TERTIAIR'!N123+'MTRG TERTIAIR'!N122+'MTRG TERTIAIR'!N121</f>
        <v>489.00687760656831</v>
      </c>
      <c r="O41" s="10">
        <f>'MTRG TERTIAIR'!O123+'MTRG TERTIAIR'!O122+'MTRG TERTIAIR'!O121</f>
        <v>3.8971964580262082</v>
      </c>
      <c r="P41" s="10">
        <f>'MTRG TERTIAIR'!P123+'MTRG TERTIAIR'!P122+'MTRG TERTIAIR'!P121</f>
        <v>159.4869179566949</v>
      </c>
      <c r="Q41" s="266">
        <f t="shared" ref="Q41:Q49" si="19">SUM(B41:P41)</f>
        <v>68629.932175776077</v>
      </c>
    </row>
    <row r="42" spans="1:17" outlineLevel="1">
      <c r="A42" s="263" t="s">
        <v>433</v>
      </c>
      <c r="B42" s="10">
        <f>B8</f>
        <v>12.993000000000052</v>
      </c>
      <c r="C42" s="10">
        <f t="shared" ref="C42:P42" si="20">C8</f>
        <v>0</v>
      </c>
      <c r="D42" s="10">
        <f t="shared" si="20"/>
        <v>0</v>
      </c>
      <c r="E42" s="10">
        <f t="shared" si="20"/>
        <v>0</v>
      </c>
      <c r="F42" s="10">
        <f t="shared" si="20"/>
        <v>0</v>
      </c>
      <c r="G42" s="10">
        <f t="shared" si="20"/>
        <v>0</v>
      </c>
      <c r="H42" s="10">
        <f t="shared" si="20"/>
        <v>0</v>
      </c>
      <c r="I42" s="10">
        <f t="shared" si="20"/>
        <v>0</v>
      </c>
      <c r="J42" s="10">
        <f t="shared" si="20"/>
        <v>0</v>
      </c>
      <c r="K42" s="10">
        <f t="shared" si="20"/>
        <v>0</v>
      </c>
      <c r="L42" s="10">
        <f t="shared" si="20"/>
        <v>0</v>
      </c>
      <c r="M42" s="10">
        <f t="shared" si="20"/>
        <v>0</v>
      </c>
      <c r="N42" s="10">
        <f t="shared" si="20"/>
        <v>0</v>
      </c>
      <c r="O42" s="10">
        <f t="shared" si="20"/>
        <v>0</v>
      </c>
      <c r="P42" s="10">
        <f t="shared" si="20"/>
        <v>0</v>
      </c>
      <c r="Q42" s="266">
        <f t="shared" si="19"/>
        <v>12.993000000000052</v>
      </c>
    </row>
    <row r="43" spans="1:17" outlineLevel="1">
      <c r="A43" s="263" t="s">
        <v>434</v>
      </c>
      <c r="B43" s="10">
        <f t="shared" ref="B43:P44" si="21">B9</f>
        <v>174.20639361104381</v>
      </c>
      <c r="C43" s="10">
        <f t="shared" si="21"/>
        <v>0</v>
      </c>
      <c r="D43" s="10">
        <f t="shared" si="21"/>
        <v>6455.8248683048605</v>
      </c>
      <c r="E43" s="10">
        <f t="shared" si="21"/>
        <v>1.8243270680410937</v>
      </c>
      <c r="F43" s="10">
        <f t="shared" si="21"/>
        <v>894.75177547173803</v>
      </c>
      <c r="G43" s="10">
        <f t="shared" si="21"/>
        <v>0</v>
      </c>
      <c r="H43" s="10">
        <f t="shared" si="21"/>
        <v>0</v>
      </c>
      <c r="I43" s="10">
        <f t="shared" si="21"/>
        <v>0</v>
      </c>
      <c r="J43" s="10">
        <f t="shared" si="21"/>
        <v>15.558192388009759</v>
      </c>
      <c r="K43" s="10">
        <f t="shared" si="21"/>
        <v>0</v>
      </c>
      <c r="L43" s="10">
        <f t="shared" si="21"/>
        <v>0</v>
      </c>
      <c r="M43" s="10">
        <f t="shared" si="21"/>
        <v>0</v>
      </c>
      <c r="N43" s="10">
        <f t="shared" si="21"/>
        <v>0</v>
      </c>
      <c r="O43" s="10">
        <f t="shared" si="21"/>
        <v>0</v>
      </c>
      <c r="P43" s="10">
        <f t="shared" si="21"/>
        <v>0</v>
      </c>
      <c r="Q43" s="266">
        <f t="shared" si="19"/>
        <v>7542.1655568436936</v>
      </c>
    </row>
    <row r="44" spans="1:17" outlineLevel="1">
      <c r="A44" s="263" t="s">
        <v>435</v>
      </c>
      <c r="B44" s="10">
        <f t="shared" si="21"/>
        <v>2087.9345772822685</v>
      </c>
      <c r="C44" s="10">
        <f t="shared" si="21"/>
        <v>0</v>
      </c>
      <c r="D44" s="10">
        <f t="shared" si="21"/>
        <v>322056.8081434943</v>
      </c>
      <c r="E44" s="10">
        <f t="shared" si="21"/>
        <v>24.339969835937236</v>
      </c>
      <c r="F44" s="10">
        <f t="shared" si="21"/>
        <v>858.79223362133735</v>
      </c>
      <c r="G44" s="10">
        <f t="shared" si="21"/>
        <v>0</v>
      </c>
      <c r="H44" s="10">
        <f t="shared" si="21"/>
        <v>0</v>
      </c>
      <c r="I44" s="10">
        <f t="shared" si="21"/>
        <v>0</v>
      </c>
      <c r="J44" s="10">
        <f t="shared" si="21"/>
        <v>6.0109829516180202</v>
      </c>
      <c r="K44" s="10">
        <f t="shared" si="21"/>
        <v>0</v>
      </c>
      <c r="L44" s="10">
        <f t="shared" si="21"/>
        <v>0</v>
      </c>
      <c r="M44" s="10">
        <f t="shared" si="21"/>
        <v>0</v>
      </c>
      <c r="N44" s="10">
        <f t="shared" si="21"/>
        <v>80.420311207402676</v>
      </c>
      <c r="O44" s="10">
        <f t="shared" si="21"/>
        <v>0</v>
      </c>
      <c r="P44" s="10">
        <f t="shared" si="21"/>
        <v>0</v>
      </c>
      <c r="Q44" s="266">
        <f t="shared" si="19"/>
        <v>325114.30621839291</v>
      </c>
    </row>
    <row r="45" spans="1:17" outlineLevel="1">
      <c r="A45" s="263" t="s">
        <v>436</v>
      </c>
      <c r="B45" s="10">
        <f>'MTRG TRANSPORT'!B145</f>
        <v>391.87048871368432</v>
      </c>
      <c r="C45" s="10"/>
      <c r="D45" s="10">
        <f>'MTRG TRANSPORT'!D145</f>
        <v>469.47030427262501</v>
      </c>
      <c r="E45" s="10">
        <f>'MTRG TRANSPORT'!E145</f>
        <v>256.6251998390822</v>
      </c>
      <c r="F45" s="10"/>
      <c r="G45" s="10">
        <f>'MTRG TRANSPORT'!G145</f>
        <v>67369.637652551901</v>
      </c>
      <c r="H45" s="10">
        <f>'MTRG TRANSPORT'!H145</f>
        <v>11737.435350811535</v>
      </c>
      <c r="I45" s="10"/>
      <c r="J45" s="10"/>
      <c r="K45" s="10"/>
      <c r="L45" s="10"/>
      <c r="M45" s="10">
        <f>'MTRG TRANSPORT'!M145</f>
        <v>4407.0747996377922</v>
      </c>
      <c r="N45" s="10"/>
      <c r="O45" s="10"/>
      <c r="P45" s="10"/>
      <c r="Q45" s="266">
        <f t="shared" si="19"/>
        <v>84632.113795826619</v>
      </c>
    </row>
    <row r="46" spans="1:17" outlineLevel="1">
      <c r="A46" s="263" t="s">
        <v>437</v>
      </c>
      <c r="B46" s="10">
        <f>B12</f>
        <v>1414.5300829497046</v>
      </c>
      <c r="C46" s="10">
        <f t="shared" ref="C46:P46" si="22">C12</f>
        <v>0</v>
      </c>
      <c r="D46" s="10">
        <f t="shared" si="22"/>
        <v>0</v>
      </c>
      <c r="E46" s="10">
        <f t="shared" si="22"/>
        <v>0</v>
      </c>
      <c r="F46" s="10">
        <f t="shared" si="22"/>
        <v>0</v>
      </c>
      <c r="G46" s="10">
        <f t="shared" si="22"/>
        <v>732.84836028957807</v>
      </c>
      <c r="H46" s="10">
        <f t="shared" si="22"/>
        <v>0</v>
      </c>
      <c r="I46" s="10">
        <f t="shared" si="22"/>
        <v>0</v>
      </c>
      <c r="J46" s="10">
        <f t="shared" si="22"/>
        <v>0</v>
      </c>
      <c r="K46" s="10">
        <f t="shared" si="22"/>
        <v>0</v>
      </c>
      <c r="L46" s="10">
        <f t="shared" si="22"/>
        <v>0</v>
      </c>
      <c r="M46" s="10">
        <f t="shared" si="22"/>
        <v>42.036371485295788</v>
      </c>
      <c r="N46" s="10">
        <f t="shared" si="22"/>
        <v>0</v>
      </c>
      <c r="O46" s="10">
        <f t="shared" si="22"/>
        <v>0</v>
      </c>
      <c r="P46" s="10">
        <f t="shared" si="22"/>
        <v>0</v>
      </c>
      <c r="Q46" s="266">
        <f t="shared" si="19"/>
        <v>2189.4148147245783</v>
      </c>
    </row>
    <row r="47" spans="1:17" outlineLevel="1">
      <c r="A47" s="263" t="s">
        <v>438</v>
      </c>
      <c r="B47" s="10">
        <f>B13</f>
        <v>1737.6089999999999</v>
      </c>
      <c r="C47" s="10">
        <f t="shared" ref="C47:P47" si="23">C13</f>
        <v>0</v>
      </c>
      <c r="D47" s="10">
        <f t="shared" si="23"/>
        <v>6528.5060000000003</v>
      </c>
      <c r="E47" s="10">
        <f t="shared" si="23"/>
        <v>0</v>
      </c>
      <c r="F47" s="10">
        <f t="shared" si="23"/>
        <v>302.08058675036102</v>
      </c>
      <c r="G47" s="10">
        <f t="shared" si="23"/>
        <v>0</v>
      </c>
      <c r="H47" s="10">
        <f t="shared" si="23"/>
        <v>0</v>
      </c>
      <c r="I47" s="10">
        <f t="shared" si="23"/>
        <v>0</v>
      </c>
      <c r="J47" s="10">
        <f t="shared" si="23"/>
        <v>0</v>
      </c>
      <c r="K47" s="10">
        <f t="shared" si="23"/>
        <v>0</v>
      </c>
      <c r="L47" s="10">
        <f t="shared" si="23"/>
        <v>0</v>
      </c>
      <c r="M47" s="10">
        <f t="shared" si="23"/>
        <v>0</v>
      </c>
      <c r="N47" s="10">
        <f t="shared" si="23"/>
        <v>0</v>
      </c>
      <c r="O47" s="10">
        <f t="shared" si="23"/>
        <v>0</v>
      </c>
      <c r="P47" s="10">
        <f t="shared" si="23"/>
        <v>0</v>
      </c>
      <c r="Q47" s="266">
        <f t="shared" si="19"/>
        <v>8568.1955867503602</v>
      </c>
    </row>
    <row r="48" spans="1:17" outlineLevel="1">
      <c r="A48" s="263" t="s">
        <v>439</v>
      </c>
      <c r="B48" s="10">
        <f>B14</f>
        <v>1015.888</v>
      </c>
      <c r="C48" s="10">
        <f t="shared" ref="C48:P48" si="24">C14</f>
        <v>0</v>
      </c>
      <c r="D48" s="10">
        <f t="shared" si="24"/>
        <v>0</v>
      </c>
      <c r="E48" s="10">
        <f t="shared" si="24"/>
        <v>0</v>
      </c>
      <c r="F48" s="10">
        <f t="shared" si="24"/>
        <v>0</v>
      </c>
      <c r="G48" s="10">
        <f t="shared" si="24"/>
        <v>0</v>
      </c>
      <c r="H48" s="10">
        <f t="shared" si="24"/>
        <v>0</v>
      </c>
      <c r="I48" s="10">
        <f t="shared" si="24"/>
        <v>0</v>
      </c>
      <c r="J48" s="10">
        <f t="shared" si="24"/>
        <v>0</v>
      </c>
      <c r="K48" s="10">
        <f t="shared" si="24"/>
        <v>0</v>
      </c>
      <c r="L48" s="10">
        <f t="shared" si="24"/>
        <v>0</v>
      </c>
      <c r="M48" s="10">
        <f t="shared" si="24"/>
        <v>0</v>
      </c>
      <c r="N48" s="10">
        <f t="shared" si="24"/>
        <v>0</v>
      </c>
      <c r="O48" s="10">
        <f t="shared" si="24"/>
        <v>0</v>
      </c>
      <c r="P48" s="10">
        <f t="shared" si="24"/>
        <v>0</v>
      </c>
      <c r="Q48" s="266">
        <f t="shared" si="19"/>
        <v>1015.888</v>
      </c>
    </row>
    <row r="49" spans="1:17" outlineLevel="1">
      <c r="A49" s="267" t="s">
        <v>440</v>
      </c>
      <c r="B49" s="10">
        <f>B15</f>
        <v>0</v>
      </c>
      <c r="C49" s="10">
        <f t="shared" ref="C49:P49" si="25">C15</f>
        <v>0</v>
      </c>
      <c r="D49" s="10">
        <f t="shared" si="25"/>
        <v>0</v>
      </c>
      <c r="E49" s="10">
        <f t="shared" si="25"/>
        <v>56.267056850603758</v>
      </c>
      <c r="F49" s="10">
        <f t="shared" si="25"/>
        <v>0</v>
      </c>
      <c r="G49" s="10">
        <f t="shared" si="25"/>
        <v>327.88452098768346</v>
      </c>
      <c r="H49" s="10">
        <f t="shared" si="25"/>
        <v>40.526913156461553</v>
      </c>
      <c r="I49" s="10">
        <f t="shared" si="25"/>
        <v>0</v>
      </c>
      <c r="J49" s="10">
        <f t="shared" si="25"/>
        <v>0</v>
      </c>
      <c r="K49" s="10">
        <f t="shared" si="25"/>
        <v>0</v>
      </c>
      <c r="L49" s="10">
        <f t="shared" si="25"/>
        <v>0</v>
      </c>
      <c r="M49" s="10">
        <f t="shared" si="25"/>
        <v>0</v>
      </c>
      <c r="N49" s="10">
        <f t="shared" si="25"/>
        <v>0</v>
      </c>
      <c r="O49" s="10">
        <f t="shared" si="25"/>
        <v>0</v>
      </c>
      <c r="P49" s="10">
        <f t="shared" si="25"/>
        <v>0</v>
      </c>
      <c r="Q49" s="269">
        <f t="shared" si="19"/>
        <v>424.67849099474876</v>
      </c>
    </row>
    <row r="50" spans="1:17" s="273" customFormat="1" outlineLevel="1">
      <c r="A50" s="270" t="s">
        <v>441</v>
      </c>
      <c r="B50" s="271">
        <f t="shared" ref="B50:Q50" si="26">SUM(B40:B49)</f>
        <v>72815.55689008336</v>
      </c>
      <c r="C50" s="271">
        <f t="shared" si="26"/>
        <v>0</v>
      </c>
      <c r="D50" s="271">
        <f t="shared" si="26"/>
        <v>504575.02077359549</v>
      </c>
      <c r="E50" s="271">
        <f t="shared" si="26"/>
        <v>1606.6867866685691</v>
      </c>
      <c r="F50" s="271">
        <f t="shared" si="26"/>
        <v>21051.511920655375</v>
      </c>
      <c r="G50" s="271">
        <f t="shared" si="26"/>
        <v>68430.370533829162</v>
      </c>
      <c r="H50" s="271">
        <f t="shared" si="26"/>
        <v>11777.962263967996</v>
      </c>
      <c r="I50" s="271">
        <f t="shared" si="26"/>
        <v>0</v>
      </c>
      <c r="J50" s="271">
        <f t="shared" si="26"/>
        <v>21.56917533962778</v>
      </c>
      <c r="K50" s="271">
        <f t="shared" si="26"/>
        <v>0</v>
      </c>
      <c r="L50" s="271">
        <f t="shared" si="26"/>
        <v>0</v>
      </c>
      <c r="M50" s="271">
        <f t="shared" si="26"/>
        <v>4449.1111711230878</v>
      </c>
      <c r="N50" s="271">
        <f t="shared" si="26"/>
        <v>5071.5441616989156</v>
      </c>
      <c r="O50" s="271">
        <f t="shared" si="26"/>
        <v>102.49926223609296</v>
      </c>
      <c r="P50" s="272">
        <f t="shared" si="26"/>
        <v>174.4701812379449</v>
      </c>
      <c r="Q50" s="272">
        <f t="shared" si="26"/>
        <v>690076.3031204358</v>
      </c>
    </row>
    <row r="51" spans="1:17" outlineLevel="1"/>
    <row r="52" spans="1:17" outlineLevel="1">
      <c r="A52" s="274" t="s">
        <v>442</v>
      </c>
      <c r="B52" s="275">
        <f>'Nulmeting 2011'!B16</f>
        <v>0.20531165224649006</v>
      </c>
      <c r="C52" s="275">
        <f>'Nulmeting 2011'!C16</f>
        <v>0</v>
      </c>
      <c r="D52" s="275">
        <f>'Nulmeting 2011'!D16</f>
        <v>0.20200000000000001</v>
      </c>
      <c r="E52" s="275">
        <f>'Nulmeting 2011'!E16</f>
        <v>0.22700000000000001</v>
      </c>
      <c r="F52" s="275">
        <f>'Nulmeting 2011'!F16</f>
        <v>0.26700000000000002</v>
      </c>
      <c r="G52" s="275">
        <f>'Nulmeting 2011'!G16</f>
        <v>0.26700000000000002</v>
      </c>
      <c r="H52" s="275">
        <f>'Nulmeting 2011'!H16</f>
        <v>0.249</v>
      </c>
      <c r="I52" s="275">
        <f>'Nulmeting 2011'!I16</f>
        <v>0.35099999999999998</v>
      </c>
      <c r="J52" s="275">
        <f>'Nulmeting 2011'!J16</f>
        <v>0.35399999999999998</v>
      </c>
      <c r="K52" s="275">
        <f>'Nulmeting 2011'!K16</f>
        <v>0.26400000000000001</v>
      </c>
      <c r="L52" s="275">
        <f>'Nulmeting 2011'!L16</f>
        <v>0</v>
      </c>
      <c r="M52" s="275">
        <f>'Nulmeting 2011'!M16</f>
        <v>0</v>
      </c>
      <c r="N52" s="275">
        <f>'Nulmeting 2011'!N16</f>
        <v>0</v>
      </c>
      <c r="O52" s="275">
        <f>'Nulmeting 2011'!O16</f>
        <v>0</v>
      </c>
      <c r="P52" s="275">
        <f>'Nulmeting 2011'!P16</f>
        <v>0</v>
      </c>
    </row>
    <row r="53" spans="1:17" outlineLevel="1"/>
    <row r="54" spans="1:17" ht="15.75" outlineLevel="1">
      <c r="A54" s="765" t="s">
        <v>448</v>
      </c>
      <c r="B54" s="766" t="s">
        <v>447</v>
      </c>
      <c r="C54" s="766"/>
      <c r="D54" s="766"/>
      <c r="E54" s="766"/>
      <c r="F54" s="766"/>
      <c r="G54" s="766"/>
      <c r="H54" s="766"/>
      <c r="I54" s="766"/>
      <c r="J54" s="766"/>
      <c r="K54" s="766"/>
      <c r="L54" s="766"/>
      <c r="M54" s="766"/>
      <c r="N54" s="766"/>
      <c r="O54" s="766"/>
      <c r="P54" s="767"/>
      <c r="Q54" s="261"/>
    </row>
    <row r="55" spans="1:17" outlineLevel="1">
      <c r="A55" s="765"/>
      <c r="B55" s="768" t="s">
        <v>2</v>
      </c>
      <c r="C55" s="770" t="s">
        <v>31</v>
      </c>
      <c r="D55" s="772" t="s">
        <v>32</v>
      </c>
      <c r="E55" s="773"/>
      <c r="F55" s="773"/>
      <c r="G55" s="773"/>
      <c r="H55" s="773"/>
      <c r="I55" s="773"/>
      <c r="J55" s="773"/>
      <c r="K55" s="769"/>
      <c r="L55" s="772" t="s">
        <v>33</v>
      </c>
      <c r="M55" s="773"/>
      <c r="N55" s="773"/>
      <c r="O55" s="773"/>
      <c r="P55" s="769"/>
      <c r="Q55" s="261"/>
    </row>
    <row r="56" spans="1:17" ht="45" outlineLevel="1">
      <c r="A56" s="765"/>
      <c r="B56" s="769"/>
      <c r="C56" s="771"/>
      <c r="D56" s="261" t="s">
        <v>34</v>
      </c>
      <c r="E56" s="261" t="s">
        <v>35</v>
      </c>
      <c r="F56" s="261" t="s">
        <v>36</v>
      </c>
      <c r="G56" s="261" t="s">
        <v>37</v>
      </c>
      <c r="H56" s="261" t="s">
        <v>29</v>
      </c>
      <c r="I56" s="261" t="s">
        <v>38</v>
      </c>
      <c r="J56" s="261" t="s">
        <v>39</v>
      </c>
      <c r="K56" s="261" t="s">
        <v>40</v>
      </c>
      <c r="L56" s="261" t="s">
        <v>41</v>
      </c>
      <c r="M56" s="261" t="s">
        <v>42</v>
      </c>
      <c r="N56" s="261" t="s">
        <v>43</v>
      </c>
      <c r="O56" s="261" t="s">
        <v>44</v>
      </c>
      <c r="P56" s="261" t="s">
        <v>45</v>
      </c>
      <c r="Q56" s="261" t="s">
        <v>27</v>
      </c>
    </row>
    <row r="57" spans="1:17" outlineLevel="1">
      <c r="A57" s="263" t="s">
        <v>431</v>
      </c>
      <c r="B57" s="10">
        <f>B52*B40</f>
        <v>8000.7628314257399</v>
      </c>
      <c r="C57" s="10">
        <f t="shared" ref="C57:P57" si="27">C52*C40</f>
        <v>0</v>
      </c>
      <c r="D57" s="10">
        <f t="shared" si="27"/>
        <v>27036.1723877556</v>
      </c>
      <c r="E57" s="10">
        <f t="shared" si="27"/>
        <v>171.25717414252449</v>
      </c>
      <c r="F57" s="10">
        <f t="shared" si="27"/>
        <v>3675.300380625617</v>
      </c>
      <c r="G57" s="10">
        <f t="shared" si="27"/>
        <v>0</v>
      </c>
      <c r="H57" s="10">
        <f t="shared" si="27"/>
        <v>0</v>
      </c>
      <c r="I57" s="10">
        <f t="shared" si="27"/>
        <v>0</v>
      </c>
      <c r="J57" s="10">
        <f t="shared" si="27"/>
        <v>0</v>
      </c>
      <c r="K57" s="10">
        <f t="shared" si="27"/>
        <v>0</v>
      </c>
      <c r="L57" s="10">
        <f t="shared" si="27"/>
        <v>0</v>
      </c>
      <c r="M57" s="10">
        <f t="shared" si="27"/>
        <v>0</v>
      </c>
      <c r="N57" s="10">
        <f t="shared" si="27"/>
        <v>0</v>
      </c>
      <c r="O57" s="10">
        <f t="shared" si="27"/>
        <v>0</v>
      </c>
      <c r="P57" s="10">
        <f t="shared" si="27"/>
        <v>0</v>
      </c>
      <c r="Q57" s="265">
        <f>SUM(B57:P57)</f>
        <v>38883.492773949481</v>
      </c>
    </row>
    <row r="58" spans="1:17" s="250" customFormat="1" outlineLevel="1">
      <c r="A58" s="543" t="s">
        <v>432</v>
      </c>
      <c r="B58" s="544">
        <f>B41*B52</f>
        <v>5545.8078437663762</v>
      </c>
      <c r="C58" s="544">
        <f t="shared" ref="C58:P58" si="28">C41*C52</f>
        <v>0</v>
      </c>
      <c r="D58" s="544">
        <f t="shared" si="28"/>
        <v>7114.8387266641994</v>
      </c>
      <c r="E58" s="544">
        <f t="shared" si="28"/>
        <v>116.49488876547898</v>
      </c>
      <c r="F58" s="544">
        <f t="shared" si="28"/>
        <v>1396.6015350991711</v>
      </c>
      <c r="G58" s="544">
        <f t="shared" si="28"/>
        <v>0</v>
      </c>
      <c r="H58" s="544">
        <f t="shared" si="28"/>
        <v>0</v>
      </c>
      <c r="I58" s="544">
        <f t="shared" si="28"/>
        <v>0</v>
      </c>
      <c r="J58" s="544">
        <f t="shared" si="28"/>
        <v>0</v>
      </c>
      <c r="K58" s="544">
        <f t="shared" si="28"/>
        <v>0</v>
      </c>
      <c r="L58" s="544">
        <f t="shared" si="28"/>
        <v>0</v>
      </c>
      <c r="M58" s="544">
        <f t="shared" si="28"/>
        <v>0</v>
      </c>
      <c r="N58" s="544">
        <f t="shared" si="28"/>
        <v>0</v>
      </c>
      <c r="O58" s="544">
        <f t="shared" si="28"/>
        <v>0</v>
      </c>
      <c r="P58" s="544">
        <f t="shared" si="28"/>
        <v>0</v>
      </c>
      <c r="Q58" s="266">
        <f>SUM(B58:P58)</f>
        <v>14173.742994295226</v>
      </c>
    </row>
    <row r="59" spans="1:17" outlineLevel="1">
      <c r="A59" s="263" t="s">
        <v>433</v>
      </c>
      <c r="B59" s="10">
        <f>B42*B52</f>
        <v>2.6676142976386559</v>
      </c>
      <c r="C59" s="10">
        <f t="shared" ref="C59:P59" si="29">C42*C52</f>
        <v>0</v>
      </c>
      <c r="D59" s="10">
        <f t="shared" si="29"/>
        <v>0</v>
      </c>
      <c r="E59" s="10">
        <f t="shared" si="29"/>
        <v>0</v>
      </c>
      <c r="F59" s="10">
        <f t="shared" si="29"/>
        <v>0</v>
      </c>
      <c r="G59" s="10">
        <f t="shared" si="29"/>
        <v>0</v>
      </c>
      <c r="H59" s="10">
        <f t="shared" si="29"/>
        <v>0</v>
      </c>
      <c r="I59" s="10">
        <f t="shared" si="29"/>
        <v>0</v>
      </c>
      <c r="J59" s="10">
        <f t="shared" si="29"/>
        <v>0</v>
      </c>
      <c r="K59" s="10">
        <f t="shared" si="29"/>
        <v>0</v>
      </c>
      <c r="L59" s="10">
        <f t="shared" si="29"/>
        <v>0</v>
      </c>
      <c r="M59" s="10">
        <f t="shared" si="29"/>
        <v>0</v>
      </c>
      <c r="N59" s="10">
        <f t="shared" si="29"/>
        <v>0</v>
      </c>
      <c r="O59" s="10">
        <f t="shared" si="29"/>
        <v>0</v>
      </c>
      <c r="P59" s="10">
        <f t="shared" si="29"/>
        <v>0</v>
      </c>
      <c r="Q59" s="266">
        <f t="shared" ref="Q59:Q66" si="30">SUM(B59:P59)</f>
        <v>2.6676142976386559</v>
      </c>
    </row>
    <row r="60" spans="1:17" outlineLevel="1">
      <c r="A60" s="263" t="s">
        <v>434</v>
      </c>
      <c r="B60" s="10">
        <f>B43*B52</f>
        <v>35.766602504185798</v>
      </c>
      <c r="C60" s="10">
        <f t="shared" ref="C60:P60" si="31">C43*C52</f>
        <v>0</v>
      </c>
      <c r="D60" s="10">
        <f t="shared" si="31"/>
        <v>1304.0766233975819</v>
      </c>
      <c r="E60" s="10">
        <f t="shared" si="31"/>
        <v>0.4141222444453283</v>
      </c>
      <c r="F60" s="10">
        <f t="shared" si="31"/>
        <v>238.89872405095406</v>
      </c>
      <c r="G60" s="10">
        <f t="shared" si="31"/>
        <v>0</v>
      </c>
      <c r="H60" s="10">
        <f t="shared" si="31"/>
        <v>0</v>
      </c>
      <c r="I60" s="10">
        <f t="shared" si="31"/>
        <v>0</v>
      </c>
      <c r="J60" s="10">
        <f t="shared" si="31"/>
        <v>5.5076001053554542</v>
      </c>
      <c r="K60" s="10">
        <f t="shared" si="31"/>
        <v>0</v>
      </c>
      <c r="L60" s="10">
        <f t="shared" si="31"/>
        <v>0</v>
      </c>
      <c r="M60" s="10">
        <f t="shared" si="31"/>
        <v>0</v>
      </c>
      <c r="N60" s="10">
        <f t="shared" si="31"/>
        <v>0</v>
      </c>
      <c r="O60" s="10">
        <f t="shared" si="31"/>
        <v>0</v>
      </c>
      <c r="P60" s="10">
        <f t="shared" si="31"/>
        <v>0</v>
      </c>
      <c r="Q60" s="266">
        <f t="shared" si="30"/>
        <v>1584.6636723025226</v>
      </c>
    </row>
    <row r="61" spans="1:17" outlineLevel="1">
      <c r="A61" s="263" t="s">
        <v>435</v>
      </c>
      <c r="B61" s="10">
        <f>B44*B52</f>
        <v>428.67729784439933</v>
      </c>
      <c r="C61" s="10">
        <f t="shared" ref="C61:P61" si="32">C44*C52</f>
        <v>0</v>
      </c>
      <c r="D61" s="10">
        <f t="shared" si="32"/>
        <v>65055.47524498585</v>
      </c>
      <c r="E61" s="10">
        <f t="shared" si="32"/>
        <v>5.5251731527577528</v>
      </c>
      <c r="F61" s="10">
        <f t="shared" si="32"/>
        <v>229.29752637689708</v>
      </c>
      <c r="G61" s="10">
        <f t="shared" si="32"/>
        <v>0</v>
      </c>
      <c r="H61" s="10">
        <f t="shared" si="32"/>
        <v>0</v>
      </c>
      <c r="I61" s="10">
        <f t="shared" si="32"/>
        <v>0</v>
      </c>
      <c r="J61" s="10">
        <f t="shared" si="32"/>
        <v>2.1278879648727789</v>
      </c>
      <c r="K61" s="10">
        <f t="shared" si="32"/>
        <v>0</v>
      </c>
      <c r="L61" s="10">
        <f t="shared" si="32"/>
        <v>0</v>
      </c>
      <c r="M61" s="10">
        <f t="shared" si="32"/>
        <v>0</v>
      </c>
      <c r="N61" s="10">
        <f t="shared" si="32"/>
        <v>0</v>
      </c>
      <c r="O61" s="10">
        <f t="shared" si="32"/>
        <v>0</v>
      </c>
      <c r="P61" s="10">
        <f t="shared" si="32"/>
        <v>0</v>
      </c>
      <c r="Q61" s="266">
        <f t="shared" si="30"/>
        <v>65721.103130324787</v>
      </c>
    </row>
    <row r="62" spans="1:17" outlineLevel="1">
      <c r="A62" s="263" t="s">
        <v>436</v>
      </c>
      <c r="B62" s="10">
        <f>B45*B52</f>
        <v>80.455577504446069</v>
      </c>
      <c r="C62" s="10">
        <f t="shared" ref="C62:P62" si="33">C45*C52</f>
        <v>0</v>
      </c>
      <c r="D62" s="10">
        <f t="shared" si="33"/>
        <v>94.833001463070261</v>
      </c>
      <c r="E62" s="10">
        <f t="shared" si="33"/>
        <v>58.253920363471664</v>
      </c>
      <c r="F62" s="10">
        <f t="shared" si="33"/>
        <v>0</v>
      </c>
      <c r="G62" s="10">
        <f t="shared" si="33"/>
        <v>17987.693253231359</v>
      </c>
      <c r="H62" s="10">
        <f t="shared" si="33"/>
        <v>2922.621402352072</v>
      </c>
      <c r="I62" s="10">
        <f t="shared" si="33"/>
        <v>0</v>
      </c>
      <c r="J62" s="10">
        <f t="shared" si="33"/>
        <v>0</v>
      </c>
      <c r="K62" s="10">
        <f t="shared" si="33"/>
        <v>0</v>
      </c>
      <c r="L62" s="10">
        <f t="shared" si="33"/>
        <v>0</v>
      </c>
      <c r="M62" s="10">
        <f t="shared" si="33"/>
        <v>0</v>
      </c>
      <c r="N62" s="10">
        <f t="shared" si="33"/>
        <v>0</v>
      </c>
      <c r="O62" s="10">
        <f t="shared" si="33"/>
        <v>0</v>
      </c>
      <c r="P62" s="10">
        <f t="shared" si="33"/>
        <v>0</v>
      </c>
      <c r="Q62" s="266">
        <f t="shared" si="30"/>
        <v>21143.857154914418</v>
      </c>
    </row>
    <row r="63" spans="1:17" outlineLevel="1">
      <c r="A63" s="263" t="s">
        <v>437</v>
      </c>
      <c r="B63" s="10">
        <f>B46*B52</f>
        <v>290.41950848276849</v>
      </c>
      <c r="C63" s="10">
        <f t="shared" ref="C63:P63" si="34">C46*C52</f>
        <v>0</v>
      </c>
      <c r="D63" s="10">
        <f t="shared" si="34"/>
        <v>0</v>
      </c>
      <c r="E63" s="10">
        <f t="shared" si="34"/>
        <v>0</v>
      </c>
      <c r="F63" s="10">
        <f t="shared" si="34"/>
        <v>0</v>
      </c>
      <c r="G63" s="10">
        <f t="shared" si="34"/>
        <v>195.67051219731735</v>
      </c>
      <c r="H63" s="10">
        <f t="shared" si="34"/>
        <v>0</v>
      </c>
      <c r="I63" s="10">
        <f t="shared" si="34"/>
        <v>0</v>
      </c>
      <c r="J63" s="10">
        <f t="shared" si="34"/>
        <v>0</v>
      </c>
      <c r="K63" s="10">
        <f t="shared" si="34"/>
        <v>0</v>
      </c>
      <c r="L63" s="10">
        <f t="shared" si="34"/>
        <v>0</v>
      </c>
      <c r="M63" s="10">
        <f t="shared" si="34"/>
        <v>0</v>
      </c>
      <c r="N63" s="10">
        <f t="shared" si="34"/>
        <v>0</v>
      </c>
      <c r="O63" s="10">
        <f t="shared" si="34"/>
        <v>0</v>
      </c>
      <c r="P63" s="10">
        <f t="shared" si="34"/>
        <v>0</v>
      </c>
      <c r="Q63" s="266">
        <f t="shared" si="30"/>
        <v>486.09002068008584</v>
      </c>
    </row>
    <row r="64" spans="1:17" outlineLevel="1">
      <c r="A64" s="263" t="s">
        <v>438</v>
      </c>
      <c r="B64" s="10">
        <f>B47*B52</f>
        <v>356.75137474837135</v>
      </c>
      <c r="C64" s="10">
        <f t="shared" ref="C64:P64" si="35">C47*C52</f>
        <v>0</v>
      </c>
      <c r="D64" s="10">
        <f t="shared" si="35"/>
        <v>1318.7582120000002</v>
      </c>
      <c r="E64" s="10">
        <f t="shared" si="35"/>
        <v>0</v>
      </c>
      <c r="F64" s="10">
        <f t="shared" si="35"/>
        <v>80.6555166623464</v>
      </c>
      <c r="G64" s="10">
        <f t="shared" si="35"/>
        <v>0</v>
      </c>
      <c r="H64" s="10">
        <f t="shared" si="35"/>
        <v>0</v>
      </c>
      <c r="I64" s="10">
        <f t="shared" si="35"/>
        <v>0</v>
      </c>
      <c r="J64" s="10">
        <f t="shared" si="35"/>
        <v>0</v>
      </c>
      <c r="K64" s="10">
        <f t="shared" si="35"/>
        <v>0</v>
      </c>
      <c r="L64" s="10">
        <f t="shared" si="35"/>
        <v>0</v>
      </c>
      <c r="M64" s="10">
        <f t="shared" si="35"/>
        <v>0</v>
      </c>
      <c r="N64" s="10">
        <f t="shared" si="35"/>
        <v>0</v>
      </c>
      <c r="O64" s="10">
        <f t="shared" si="35"/>
        <v>0</v>
      </c>
      <c r="P64" s="10">
        <f t="shared" si="35"/>
        <v>0</v>
      </c>
      <c r="Q64" s="266">
        <f t="shared" si="30"/>
        <v>1756.1651034107178</v>
      </c>
    </row>
    <row r="65" spans="1:17" outlineLevel="1">
      <c r="A65" s="263" t="s">
        <v>439</v>
      </c>
      <c r="B65" s="10">
        <f>B48*B52</f>
        <v>208.5736437773823</v>
      </c>
      <c r="C65" s="10">
        <f t="shared" ref="C65:P65" si="36">C48*C52</f>
        <v>0</v>
      </c>
      <c r="D65" s="10">
        <f t="shared" si="36"/>
        <v>0</v>
      </c>
      <c r="E65" s="10">
        <f t="shared" si="36"/>
        <v>0</v>
      </c>
      <c r="F65" s="10">
        <f t="shared" si="36"/>
        <v>0</v>
      </c>
      <c r="G65" s="10">
        <f t="shared" si="36"/>
        <v>0</v>
      </c>
      <c r="H65" s="10">
        <f t="shared" si="36"/>
        <v>0</v>
      </c>
      <c r="I65" s="10">
        <f t="shared" si="36"/>
        <v>0</v>
      </c>
      <c r="J65" s="10">
        <f t="shared" si="36"/>
        <v>0</v>
      </c>
      <c r="K65" s="10">
        <f t="shared" si="36"/>
        <v>0</v>
      </c>
      <c r="L65" s="10">
        <f t="shared" si="36"/>
        <v>0</v>
      </c>
      <c r="M65" s="10">
        <f t="shared" si="36"/>
        <v>0</v>
      </c>
      <c r="N65" s="10">
        <f t="shared" si="36"/>
        <v>0</v>
      </c>
      <c r="O65" s="10">
        <f t="shared" si="36"/>
        <v>0</v>
      </c>
      <c r="P65" s="10">
        <f t="shared" si="36"/>
        <v>0</v>
      </c>
      <c r="Q65" s="266">
        <f t="shared" si="30"/>
        <v>208.5736437773823</v>
      </c>
    </row>
    <row r="66" spans="1:17" outlineLevel="1">
      <c r="A66" s="267" t="s">
        <v>440</v>
      </c>
      <c r="B66" s="10">
        <f>B52*B49</f>
        <v>0</v>
      </c>
      <c r="C66" s="10">
        <f t="shared" ref="C66:P66" si="37">C52*C49</f>
        <v>0</v>
      </c>
      <c r="D66" s="10">
        <f t="shared" si="37"/>
        <v>0</v>
      </c>
      <c r="E66" s="10">
        <f t="shared" si="37"/>
        <v>12.772621905087053</v>
      </c>
      <c r="F66" s="10">
        <f t="shared" si="37"/>
        <v>0</v>
      </c>
      <c r="G66" s="10">
        <f t="shared" si="37"/>
        <v>87.545167103711492</v>
      </c>
      <c r="H66" s="10">
        <f t="shared" si="37"/>
        <v>10.091201375958926</v>
      </c>
      <c r="I66" s="10">
        <f t="shared" si="37"/>
        <v>0</v>
      </c>
      <c r="J66" s="10">
        <f t="shared" si="37"/>
        <v>0</v>
      </c>
      <c r="K66" s="10">
        <f t="shared" si="37"/>
        <v>0</v>
      </c>
      <c r="L66" s="10">
        <f t="shared" si="37"/>
        <v>0</v>
      </c>
      <c r="M66" s="10">
        <f t="shared" si="37"/>
        <v>0</v>
      </c>
      <c r="N66" s="10">
        <f t="shared" si="37"/>
        <v>0</v>
      </c>
      <c r="O66" s="10">
        <f t="shared" si="37"/>
        <v>0</v>
      </c>
      <c r="P66" s="10">
        <f t="shared" si="37"/>
        <v>0</v>
      </c>
      <c r="Q66" s="269">
        <f t="shared" si="30"/>
        <v>110.40899038475747</v>
      </c>
    </row>
    <row r="67" spans="1:17" s="273" customFormat="1" outlineLevel="1">
      <c r="A67" s="270" t="s">
        <v>441</v>
      </c>
      <c r="B67" s="271">
        <f t="shared" ref="B67:Q67" si="38">SUM(B57:B66)</f>
        <v>14949.88229435131</v>
      </c>
      <c r="C67" s="271">
        <f t="shared" si="38"/>
        <v>0</v>
      </c>
      <c r="D67" s="271">
        <f t="shared" si="38"/>
        <v>101924.15419626632</v>
      </c>
      <c r="E67" s="271">
        <f t="shared" si="38"/>
        <v>364.71790057376529</v>
      </c>
      <c r="F67" s="271">
        <f t="shared" si="38"/>
        <v>5620.753682814985</v>
      </c>
      <c r="G67" s="271">
        <f t="shared" si="38"/>
        <v>18270.908932532388</v>
      </c>
      <c r="H67" s="271">
        <f t="shared" si="38"/>
        <v>2932.7126037280309</v>
      </c>
      <c r="I67" s="271">
        <f t="shared" si="38"/>
        <v>0</v>
      </c>
      <c r="J67" s="271">
        <f t="shared" si="38"/>
        <v>7.6354880702282326</v>
      </c>
      <c r="K67" s="271">
        <f t="shared" si="38"/>
        <v>0</v>
      </c>
      <c r="L67" s="271">
        <f t="shared" si="38"/>
        <v>0</v>
      </c>
      <c r="M67" s="271">
        <f t="shared" si="38"/>
        <v>0</v>
      </c>
      <c r="N67" s="271">
        <f t="shared" si="38"/>
        <v>0</v>
      </c>
      <c r="O67" s="271">
        <f t="shared" si="38"/>
        <v>0</v>
      </c>
      <c r="P67" s="272">
        <f t="shared" si="38"/>
        <v>0</v>
      </c>
      <c r="Q67" s="272">
        <f t="shared" si="38"/>
        <v>144070.76509833697</v>
      </c>
    </row>
    <row r="68" spans="1:17" outlineLevel="1"/>
    <row r="69" spans="1:17" outlineLevel="1"/>
    <row r="70" spans="1:17">
      <c r="A70" s="286" t="s">
        <v>449</v>
      </c>
      <c r="B70" s="286"/>
      <c r="C70" s="286"/>
      <c r="D70" s="286"/>
      <c r="E70" s="286"/>
      <c r="F70" s="286"/>
      <c r="G70" s="286"/>
      <c r="H70" s="286"/>
      <c r="I70" s="286"/>
      <c r="J70" s="286"/>
      <c r="K70" s="286"/>
      <c r="L70" s="286"/>
      <c r="M70" s="286"/>
      <c r="N70" s="286"/>
      <c r="O70" s="286"/>
      <c r="P70" s="286"/>
      <c r="Q70" s="286"/>
    </row>
    <row r="72" spans="1:17" ht="15" customHeight="1">
      <c r="A72" s="758"/>
      <c r="B72" s="759" t="s">
        <v>689</v>
      </c>
      <c r="C72" s="760"/>
      <c r="D72" s="763" t="s">
        <v>690</v>
      </c>
      <c r="E72" s="760"/>
    </row>
    <row r="73" spans="1:17" ht="15" customHeight="1">
      <c r="A73" s="758"/>
      <c r="B73" s="761"/>
      <c r="C73" s="762"/>
      <c r="D73" s="764"/>
      <c r="E73" s="762"/>
    </row>
    <row r="74" spans="1:17" ht="15" customHeight="1">
      <c r="A74" s="758"/>
      <c r="B74" s="277">
        <v>2011</v>
      </c>
      <c r="C74" s="277">
        <v>2020</v>
      </c>
      <c r="D74" s="285">
        <v>2011</v>
      </c>
      <c r="E74" s="277">
        <v>2020</v>
      </c>
    </row>
    <row r="75" spans="1:17">
      <c r="A75" s="278" t="s">
        <v>431</v>
      </c>
      <c r="B75" s="283">
        <f>Q6</f>
        <v>181494.5961689871</v>
      </c>
      <c r="C75" s="276">
        <f>Q40</f>
        <v>191946.61548112673</v>
      </c>
      <c r="D75" s="282">
        <f>Q23</f>
        <v>36772.490543442946</v>
      </c>
      <c r="E75" s="276">
        <f>Q57</f>
        <v>38883.492773949481</v>
      </c>
    </row>
    <row r="76" spans="1:17">
      <c r="A76" s="278" t="s">
        <v>432</v>
      </c>
      <c r="B76" s="284">
        <f>Q7</f>
        <v>71256.148758977317</v>
      </c>
      <c r="C76" s="264">
        <f>Q41</f>
        <v>68629.932175776077</v>
      </c>
      <c r="D76" s="10">
        <f>Q24</f>
        <v>14753.427283440975</v>
      </c>
      <c r="E76" s="264">
        <f>Q58</f>
        <v>14173.742994295226</v>
      </c>
    </row>
    <row r="77" spans="1:17">
      <c r="A77" s="278" t="s">
        <v>433</v>
      </c>
      <c r="B77" s="284">
        <f>Q8</f>
        <v>12.993000000000052</v>
      </c>
      <c r="C77" s="264">
        <f>Q42</f>
        <v>12.993000000000052</v>
      </c>
      <c r="D77" s="10">
        <f>Q25</f>
        <v>2.6676142976386559</v>
      </c>
      <c r="E77" s="264">
        <f>Q59</f>
        <v>2.6676142976386559</v>
      </c>
    </row>
    <row r="78" spans="1:17">
      <c r="A78" s="278" t="s">
        <v>434</v>
      </c>
      <c r="B78" s="284">
        <f>Q9</f>
        <v>7542.1655568436936</v>
      </c>
      <c r="C78" s="264">
        <f>Q43</f>
        <v>7542.1655568436936</v>
      </c>
      <c r="D78" s="10">
        <f>Q26</f>
        <v>1584.6636723025226</v>
      </c>
      <c r="E78" s="264">
        <f>Q60</f>
        <v>1584.6636723025226</v>
      </c>
    </row>
    <row r="79" spans="1:17">
      <c r="A79" s="278" t="s">
        <v>435</v>
      </c>
      <c r="B79" s="284">
        <f>Q10</f>
        <v>325114.30621839291</v>
      </c>
      <c r="C79" s="264">
        <f>Q44</f>
        <v>325114.30621839291</v>
      </c>
      <c r="D79" s="10">
        <f>Q27</f>
        <v>65721.103130324787</v>
      </c>
      <c r="E79" s="264">
        <f>Q61</f>
        <v>65721.103130324787</v>
      </c>
    </row>
    <row r="80" spans="1:17">
      <c r="A80" s="278" t="s">
        <v>514</v>
      </c>
      <c r="B80" s="284">
        <f>Q11+Q12</f>
        <v>60091.300944557202</v>
      </c>
      <c r="C80" s="264">
        <f>Q46+Q45</f>
        <v>86821.528610551191</v>
      </c>
      <c r="D80" s="10">
        <f>Q29+Q28</f>
        <v>15154.350408613054</v>
      </c>
      <c r="E80" s="264">
        <f>Q62+Q63</f>
        <v>21629.947175594505</v>
      </c>
    </row>
    <row r="81" spans="1:5">
      <c r="A81" s="278" t="s">
        <v>513</v>
      </c>
      <c r="B81" s="284">
        <f>Q13+Q14+Q15</f>
        <v>10008.76207774511</v>
      </c>
      <c r="C81" s="264">
        <f>Q47+Q48+Q49</f>
        <v>10008.76207774511</v>
      </c>
      <c r="D81" s="10">
        <f>Q30+Q31+Q32</f>
        <v>2075.1477375728577</v>
      </c>
      <c r="E81" s="264">
        <f>Q66+Q65+Q64</f>
        <v>2075.1477375728577</v>
      </c>
    </row>
    <row r="82" spans="1:5">
      <c r="A82" s="270" t="s">
        <v>441</v>
      </c>
      <c r="B82" s="280">
        <f>SUM(B75:B81)</f>
        <v>655520.27272550331</v>
      </c>
      <c r="C82" s="279">
        <f>SUM(C75:C81)</f>
        <v>690076.30312043568</v>
      </c>
      <c r="D82" s="281">
        <f>SUM(D75:D81)</f>
        <v>136063.85038999477</v>
      </c>
      <c r="E82" s="279">
        <f>SUM(E75:E81)</f>
        <v>144070.76509833703</v>
      </c>
    </row>
    <row r="83" spans="1:5">
      <c r="A83" s="549" t="s">
        <v>701</v>
      </c>
      <c r="B83" s="546"/>
      <c r="C83" s="548">
        <f>C82/B82-1</f>
        <v>5.2715425949004358E-2</v>
      </c>
      <c r="D83" s="547"/>
      <c r="E83" s="548">
        <f>E82/D82-1</f>
        <v>5.884674500532161E-2</v>
      </c>
    </row>
  </sheetData>
  <mergeCells count="27">
    <mergeCell ref="A3:A5"/>
    <mergeCell ref="B3:P3"/>
    <mergeCell ref="B4:B5"/>
    <mergeCell ref="C4:C5"/>
    <mergeCell ref="D4:K4"/>
    <mergeCell ref="L4:P4"/>
    <mergeCell ref="A20:A22"/>
    <mergeCell ref="B20:P20"/>
    <mergeCell ref="B21:B22"/>
    <mergeCell ref="C21:C22"/>
    <mergeCell ref="D21:K21"/>
    <mergeCell ref="L21:P21"/>
    <mergeCell ref="A37:A39"/>
    <mergeCell ref="B37:P37"/>
    <mergeCell ref="B38:B39"/>
    <mergeCell ref="C38:C39"/>
    <mergeCell ref="D38:K38"/>
    <mergeCell ref="L38:P38"/>
    <mergeCell ref="A72:A74"/>
    <mergeCell ref="B72:C73"/>
    <mergeCell ref="D72:E73"/>
    <mergeCell ref="A54:A56"/>
    <mergeCell ref="B54:P54"/>
    <mergeCell ref="B55:B56"/>
    <mergeCell ref="C55:C56"/>
    <mergeCell ref="D55:K55"/>
    <mergeCell ref="L55:P55"/>
  </mergeCells>
  <dataValidations count="1">
    <dataValidation type="list" allowBlank="1" showInputMessage="1" showErrorMessage="1" sqref="B4:D5 B55:D56 B38:D39 B21:D22">
      <formula1>#REF!</formula1>
    </dataValidation>
  </dataValidations>
  <pageMargins left="0.7" right="0.7" top="0.75" bottom="0.75" header="0.3" footer="0.3"/>
  <pageSetup paperSize="9" orientation="portrait" r:id="rId1"/>
  <ignoredErrors>
    <ignoredError sqref="B45:P45" formula="1"/>
  </ignoredError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9"/>
    <outlinePr summaryBelow="0"/>
  </sheetPr>
  <dimension ref="A1:BE202"/>
  <sheetViews>
    <sheetView showGridLines="0" tabSelected="1" zoomScale="90" zoomScaleNormal="90" workbookViewId="0">
      <selection activeCell="C6" sqref="C6"/>
    </sheetView>
  </sheetViews>
  <sheetFormatPr defaultColWidth="9.140625" defaultRowHeight="15"/>
  <cols>
    <col min="1" max="1" width="55" style="590" customWidth="1"/>
    <col min="2" max="2" width="48.85546875" style="590" customWidth="1"/>
    <col min="3" max="3" width="13.28515625" style="590" customWidth="1"/>
    <col min="4" max="6" width="16.42578125" style="590" customWidth="1"/>
    <col min="7" max="7" width="51.5703125" style="590" customWidth="1"/>
    <col min="8" max="8" width="16.85546875" style="590" customWidth="1"/>
    <col min="9" max="10" width="51.42578125" style="590" bestFit="1" customWidth="1"/>
    <col min="11" max="11" width="24.5703125" style="590" customWidth="1"/>
    <col min="12" max="12" width="13.28515625" style="590" customWidth="1"/>
    <col min="13" max="13" width="16.28515625" style="590" customWidth="1"/>
    <col min="14" max="14" width="13.140625" style="590" customWidth="1"/>
    <col min="15" max="15" width="41" style="590" bestFit="1" customWidth="1"/>
    <col min="16" max="16" width="13.28515625" style="590" customWidth="1"/>
    <col min="17" max="18" width="51.42578125" style="590" bestFit="1" customWidth="1"/>
    <col min="19" max="19" width="11.85546875" style="590" bestFit="1" customWidth="1"/>
    <col min="20" max="21" width="9.140625" style="590"/>
    <col min="22" max="22" width="24" style="590" customWidth="1"/>
    <col min="23" max="23" width="30.7109375" style="590" customWidth="1"/>
    <col min="24" max="16384" width="9.140625" style="590"/>
  </cols>
  <sheetData>
    <row r="1" spans="1:15" s="585" customFormat="1" ht="18.75">
      <c r="A1" s="584" t="s">
        <v>171</v>
      </c>
    </row>
    <row r="2" spans="1:15" s="585" customFormat="1">
      <c r="A2" s="586" t="s">
        <v>703</v>
      </c>
    </row>
    <row r="4" spans="1:15" ht="18.75">
      <c r="A4" s="587" t="s">
        <v>177</v>
      </c>
      <c r="B4" s="588"/>
      <c r="C4" s="588"/>
      <c r="D4" s="588"/>
      <c r="E4" s="588"/>
      <c r="F4" s="588"/>
      <c r="G4" s="589"/>
      <c r="I4" s="587" t="s">
        <v>178</v>
      </c>
      <c r="J4" s="588"/>
      <c r="K4" s="588"/>
      <c r="L4" s="588"/>
      <c r="M4" s="588"/>
      <c r="N4" s="588"/>
      <c r="O4" s="589"/>
    </row>
    <row r="5" spans="1:15">
      <c r="A5" s="591" t="s">
        <v>172</v>
      </c>
      <c r="B5" s="592"/>
      <c r="C5" s="592"/>
      <c r="D5" s="592"/>
      <c r="E5" s="592"/>
      <c r="F5" s="592"/>
      <c r="G5" s="593"/>
      <c r="I5" s="591" t="s">
        <v>172</v>
      </c>
      <c r="J5" s="592"/>
      <c r="K5" s="592"/>
      <c r="L5" s="592"/>
      <c r="M5" s="592"/>
      <c r="N5" s="592"/>
      <c r="O5" s="593"/>
    </row>
    <row r="6" spans="1:15">
      <c r="A6" s="594" t="s">
        <v>136</v>
      </c>
      <c r="B6" s="595">
        <v>0.2</v>
      </c>
      <c r="C6" s="596" t="s">
        <v>704</v>
      </c>
      <c r="D6" s="596"/>
      <c r="E6" s="596"/>
      <c r="F6" s="597"/>
      <c r="G6" s="598"/>
      <c r="I6" s="594" t="s">
        <v>195</v>
      </c>
      <c r="J6" s="595">
        <v>0.2</v>
      </c>
      <c r="K6" s="596" t="s">
        <v>212</v>
      </c>
      <c r="L6" s="596"/>
      <c r="M6" s="596"/>
      <c r="N6" s="597"/>
      <c r="O6" s="598"/>
    </row>
    <row r="7" spans="1:15">
      <c r="A7" s="594"/>
      <c r="B7" s="599">
        <f>B6*$D$157</f>
        <v>2155.2000000000003</v>
      </c>
      <c r="C7" s="596" t="s">
        <v>137</v>
      </c>
      <c r="D7" s="596"/>
      <c r="E7" s="596"/>
      <c r="F7" s="596"/>
      <c r="G7" s="598"/>
      <c r="I7" s="594"/>
      <c r="J7" s="599">
        <f>J6*$D$157</f>
        <v>2155.2000000000003</v>
      </c>
      <c r="K7" s="596" t="s">
        <v>137</v>
      </c>
      <c r="L7" s="596"/>
      <c r="M7" s="596"/>
      <c r="N7" s="596"/>
      <c r="O7" s="598"/>
    </row>
    <row r="8" spans="1:15">
      <c r="A8" s="600" t="s">
        <v>133</v>
      </c>
      <c r="B8" s="601">
        <f>531658/2895711</f>
        <v>0.18360188568541544</v>
      </c>
      <c r="C8" s="602" t="s">
        <v>135</v>
      </c>
      <c r="D8" s="602"/>
      <c r="E8" s="602"/>
      <c r="F8" s="602"/>
      <c r="G8" s="603" t="s">
        <v>421</v>
      </c>
      <c r="I8" s="600" t="s">
        <v>133</v>
      </c>
      <c r="J8" s="601">
        <f>96040/2895711</f>
        <v>3.3166293183263106E-2</v>
      </c>
      <c r="K8" s="602" t="s">
        <v>135</v>
      </c>
      <c r="L8" s="602"/>
      <c r="M8" s="602"/>
      <c r="N8" s="602"/>
      <c r="O8" s="603" t="s">
        <v>421</v>
      </c>
    </row>
    <row r="9" spans="1:15">
      <c r="A9" s="591" t="s">
        <v>175</v>
      </c>
      <c r="B9" s="592"/>
      <c r="C9" s="592"/>
      <c r="D9" s="592"/>
      <c r="E9" s="592"/>
      <c r="F9" s="592"/>
      <c r="G9" s="593"/>
      <c r="I9" s="591" t="s">
        <v>175</v>
      </c>
      <c r="J9" s="592"/>
      <c r="K9" s="592"/>
      <c r="L9" s="592"/>
      <c r="M9" s="592"/>
      <c r="N9" s="592"/>
      <c r="O9" s="593"/>
    </row>
    <row r="10" spans="1:15">
      <c r="A10" s="594" t="s">
        <v>173</v>
      </c>
      <c r="B10" s="596" t="s">
        <v>211</v>
      </c>
      <c r="C10" s="596"/>
      <c r="D10" s="596"/>
      <c r="E10" s="596"/>
      <c r="F10" s="596"/>
      <c r="G10" s="603"/>
      <c r="I10" s="594" t="s">
        <v>173</v>
      </c>
      <c r="J10" s="596" t="s">
        <v>205</v>
      </c>
      <c r="K10" s="596"/>
      <c r="L10" s="596"/>
      <c r="M10" s="596"/>
      <c r="N10" s="596"/>
      <c r="O10" s="603"/>
    </row>
    <row r="11" spans="1:15">
      <c r="A11" s="594"/>
      <c r="B11" s="596" t="s">
        <v>210</v>
      </c>
      <c r="C11" s="596"/>
      <c r="D11" s="596"/>
      <c r="E11" s="596"/>
      <c r="F11" s="596"/>
      <c r="G11" s="603"/>
      <c r="I11" s="594"/>
      <c r="J11" s="596" t="s">
        <v>206</v>
      </c>
      <c r="K11" s="596"/>
      <c r="L11" s="596"/>
      <c r="M11" s="596"/>
      <c r="N11" s="596"/>
      <c r="O11" s="603"/>
    </row>
    <row r="12" spans="1:15">
      <c r="A12" s="594" t="s">
        <v>201</v>
      </c>
      <c r="B12" s="596">
        <v>106</v>
      </c>
      <c r="C12" s="596" t="s">
        <v>202</v>
      </c>
      <c r="D12" s="596"/>
      <c r="E12" s="596"/>
      <c r="F12" s="596"/>
      <c r="G12" s="604" t="s">
        <v>428</v>
      </c>
      <c r="I12" s="594" t="s">
        <v>203</v>
      </c>
      <c r="J12" s="605">
        <v>130.29455994435858</v>
      </c>
      <c r="K12" s="596" t="s">
        <v>204</v>
      </c>
      <c r="L12" s="596"/>
      <c r="M12" s="596"/>
      <c r="N12" s="596"/>
      <c r="O12" s="604" t="s">
        <v>428</v>
      </c>
    </row>
    <row r="13" spans="1:15" s="607" customFormat="1">
      <c r="A13" s="594" t="s">
        <v>167</v>
      </c>
      <c r="B13" s="606">
        <v>50</v>
      </c>
      <c r="C13" s="596" t="s">
        <v>168</v>
      </c>
      <c r="D13" s="596"/>
      <c r="E13" s="596"/>
      <c r="F13" s="596"/>
      <c r="G13" s="604" t="s">
        <v>428</v>
      </c>
      <c r="I13" s="594" t="s">
        <v>167</v>
      </c>
      <c r="J13" s="605">
        <v>50</v>
      </c>
      <c r="K13" s="596" t="s">
        <v>168</v>
      </c>
      <c r="L13" s="596"/>
      <c r="M13" s="596"/>
      <c r="N13" s="596"/>
      <c r="O13" s="604" t="s">
        <v>428</v>
      </c>
    </row>
    <row r="14" spans="1:15">
      <c r="A14" s="594" t="s">
        <v>174</v>
      </c>
      <c r="B14" s="606">
        <f>22*B12</f>
        <v>2332</v>
      </c>
      <c r="C14" s="596" t="s">
        <v>397</v>
      </c>
      <c r="D14" s="596"/>
      <c r="E14" s="596"/>
      <c r="F14" s="596"/>
      <c r="G14" s="604" t="s">
        <v>428</v>
      </c>
      <c r="I14" s="594" t="s">
        <v>196</v>
      </c>
      <c r="J14" s="605">
        <f>30*J12</f>
        <v>3908.8367983307576</v>
      </c>
      <c r="K14" s="596" t="s">
        <v>398</v>
      </c>
      <c r="L14" s="596"/>
      <c r="M14" s="596"/>
      <c r="N14" s="596"/>
      <c r="O14" s="604" t="s">
        <v>428</v>
      </c>
    </row>
    <row r="15" spans="1:15">
      <c r="A15" s="594" t="s">
        <v>147</v>
      </c>
      <c r="B15" s="606">
        <v>4918.6399148727096</v>
      </c>
      <c r="C15" s="596" t="s">
        <v>163</v>
      </c>
      <c r="D15" s="596"/>
      <c r="E15" s="596"/>
      <c r="F15" s="596"/>
      <c r="G15" s="604" t="s">
        <v>428</v>
      </c>
      <c r="I15" s="594" t="s">
        <v>197</v>
      </c>
      <c r="J15" s="605">
        <v>5184.8478384296886</v>
      </c>
      <c r="K15" s="596" t="s">
        <v>198</v>
      </c>
      <c r="L15" s="596"/>
      <c r="M15" s="596"/>
      <c r="N15" s="596"/>
      <c r="O15" s="604" t="s">
        <v>428</v>
      </c>
    </row>
    <row r="16" spans="1:15">
      <c r="A16" s="594" t="s">
        <v>214</v>
      </c>
      <c r="B16" s="744">
        <f>B15*$B$113</f>
        <v>413.41388159397013</v>
      </c>
      <c r="C16" s="596" t="s">
        <v>400</v>
      </c>
      <c r="D16" s="596"/>
      <c r="E16" s="596"/>
      <c r="F16" s="596"/>
      <c r="G16" s="608"/>
      <c r="I16" s="594" t="s">
        <v>215</v>
      </c>
      <c r="J16" s="606">
        <f>J15*$B$113</f>
        <v>435.78877646195713</v>
      </c>
      <c r="K16" s="596" t="s">
        <v>401</v>
      </c>
      <c r="L16" s="596"/>
      <c r="M16" s="596"/>
      <c r="N16" s="596"/>
      <c r="O16" s="608"/>
    </row>
    <row r="17" spans="1:23">
      <c r="A17" s="594" t="s">
        <v>148</v>
      </c>
      <c r="B17" s="744">
        <f>B15*$B$107/1000</f>
        <v>0.99595169351596724</v>
      </c>
      <c r="C17" s="596" t="s">
        <v>162</v>
      </c>
      <c r="D17" s="596"/>
      <c r="E17" s="596"/>
      <c r="F17" s="596"/>
      <c r="G17" s="598"/>
      <c r="H17" s="610"/>
      <c r="I17" s="594" t="s">
        <v>199</v>
      </c>
      <c r="J17" s="609">
        <f>J15*$B$107/1000</f>
        <v>1.0498548531053196</v>
      </c>
      <c r="K17" s="596" t="s">
        <v>200</v>
      </c>
      <c r="L17" s="596"/>
      <c r="M17" s="596"/>
      <c r="N17" s="596"/>
      <c r="O17" s="598"/>
    </row>
    <row r="18" spans="1:23" s="615" customFormat="1">
      <c r="A18" s="611" t="s">
        <v>146</v>
      </c>
      <c r="B18" s="612">
        <f>(-PMT($B$111,B13,B14)-B16)/B17</f>
        <v>-306.09799263396877</v>
      </c>
      <c r="C18" s="613" t="s">
        <v>164</v>
      </c>
      <c r="D18" s="613"/>
      <c r="E18" s="613"/>
      <c r="F18" s="613"/>
      <c r="G18" s="614"/>
      <c r="I18" s="611" t="s">
        <v>146</v>
      </c>
      <c r="J18" s="612">
        <f>(-PMT($B$111,J13,J14)-J16)/J17</f>
        <v>-241.77784121711562</v>
      </c>
      <c r="K18" s="613" t="s">
        <v>164</v>
      </c>
      <c r="L18" s="613"/>
      <c r="M18" s="613"/>
      <c r="N18" s="613"/>
      <c r="O18" s="614"/>
    </row>
    <row r="19" spans="1:23">
      <c r="A19" s="591" t="s">
        <v>180</v>
      </c>
      <c r="B19" s="592"/>
      <c r="C19" s="592"/>
      <c r="D19" s="592"/>
      <c r="E19" s="592"/>
      <c r="F19" s="592"/>
      <c r="G19" s="593"/>
      <c r="H19" s="610"/>
      <c r="I19" s="591" t="s">
        <v>180</v>
      </c>
      <c r="J19" s="592"/>
      <c r="K19" s="592"/>
      <c r="L19" s="592"/>
      <c r="M19" s="592"/>
      <c r="N19" s="592"/>
      <c r="O19" s="593"/>
    </row>
    <row r="20" spans="1:23">
      <c r="A20" s="594" t="s">
        <v>141</v>
      </c>
      <c r="B20" s="616">
        <f>B15*B7/1000</f>
        <v>10600.652744533665</v>
      </c>
      <c r="C20" s="596" t="s">
        <v>30</v>
      </c>
      <c r="D20" s="596"/>
      <c r="E20" s="596"/>
      <c r="F20" s="596"/>
      <c r="G20" s="598"/>
      <c r="I20" s="594" t="s">
        <v>141</v>
      </c>
      <c r="J20" s="616">
        <f>J15*J7/1000</f>
        <v>11174.384061383667</v>
      </c>
      <c r="K20" s="596" t="s">
        <v>30</v>
      </c>
      <c r="L20" s="596"/>
      <c r="M20" s="596"/>
      <c r="N20" s="596"/>
      <c r="O20" s="598"/>
    </row>
    <row r="21" spans="1:23" s="617" customFormat="1">
      <c r="A21" s="594" t="s">
        <v>145</v>
      </c>
      <c r="B21" s="711">
        <f>B17*B7</f>
        <v>2146.475089865613</v>
      </c>
      <c r="C21" s="596" t="s">
        <v>181</v>
      </c>
      <c r="D21" s="596"/>
      <c r="E21" s="596"/>
      <c r="F21" s="596"/>
      <c r="G21" s="598"/>
      <c r="I21" s="594" t="s">
        <v>145</v>
      </c>
      <c r="J21" s="616">
        <f>J17*J7</f>
        <v>2262.647179412585</v>
      </c>
      <c r="K21" s="596" t="s">
        <v>181</v>
      </c>
      <c r="L21" s="596"/>
      <c r="M21" s="596"/>
      <c r="N21" s="596"/>
      <c r="O21" s="598"/>
    </row>
    <row r="22" spans="1:23">
      <c r="A22" s="591" t="s">
        <v>207</v>
      </c>
      <c r="B22" s="592"/>
      <c r="C22" s="592"/>
      <c r="D22" s="592"/>
      <c r="E22" s="592"/>
      <c r="F22" s="592"/>
      <c r="G22" s="593"/>
      <c r="H22" s="610"/>
      <c r="I22" s="591" t="s">
        <v>207</v>
      </c>
      <c r="J22" s="592"/>
      <c r="K22" s="592"/>
      <c r="L22" s="592"/>
      <c r="M22" s="592"/>
      <c r="N22" s="592"/>
      <c r="O22" s="593"/>
    </row>
    <row r="23" spans="1:23">
      <c r="A23" s="618" t="s">
        <v>208</v>
      </c>
      <c r="B23" s="619"/>
      <c r="C23" s="620"/>
      <c r="D23" s="620"/>
      <c r="E23" s="620"/>
      <c r="F23" s="620"/>
      <c r="G23" s="621"/>
      <c r="I23" s="618"/>
      <c r="J23" s="619"/>
      <c r="K23" s="620"/>
      <c r="L23" s="620"/>
      <c r="M23" s="620"/>
      <c r="N23" s="620"/>
      <c r="O23" s="621"/>
    </row>
    <row r="24" spans="1:23">
      <c r="A24" s="622" t="s">
        <v>209</v>
      </c>
      <c r="B24" s="623"/>
      <c r="C24" s="624"/>
      <c r="D24" s="624"/>
      <c r="E24" s="624"/>
      <c r="F24" s="624"/>
      <c r="G24" s="625"/>
      <c r="I24" s="622"/>
      <c r="J24" s="623"/>
      <c r="K24" s="624"/>
      <c r="L24" s="624"/>
      <c r="M24" s="624"/>
      <c r="N24" s="624"/>
      <c r="O24" s="625"/>
    </row>
    <row r="25" spans="1:23">
      <c r="A25" s="596"/>
      <c r="B25" s="616"/>
      <c r="C25" s="596"/>
      <c r="D25" s="596"/>
      <c r="E25" s="596"/>
      <c r="F25" s="596"/>
      <c r="G25" s="596"/>
      <c r="I25" s="596"/>
      <c r="J25" s="616"/>
      <c r="K25" s="596"/>
      <c r="L25" s="596"/>
      <c r="M25" s="596"/>
      <c r="N25" s="596"/>
      <c r="O25" s="596"/>
      <c r="Q25" s="596"/>
      <c r="R25" s="616"/>
      <c r="S25" s="596"/>
      <c r="T25" s="596"/>
      <c r="U25" s="596"/>
      <c r="V25" s="596"/>
      <c r="W25" s="596"/>
    </row>
    <row r="27" spans="1:23" ht="18.75">
      <c r="A27" s="587" t="s">
        <v>706</v>
      </c>
      <c r="B27" s="587"/>
      <c r="C27" s="587"/>
      <c r="D27" s="587"/>
      <c r="E27" s="587"/>
      <c r="F27" s="587"/>
      <c r="G27" s="587"/>
      <c r="I27" s="587" t="s">
        <v>182</v>
      </c>
      <c r="J27" s="587"/>
      <c r="K27" s="587"/>
      <c r="L27" s="587"/>
      <c r="M27" s="587"/>
      <c r="N27" s="587"/>
      <c r="O27" s="587"/>
    </row>
    <row r="28" spans="1:23">
      <c r="A28" s="591" t="s">
        <v>172</v>
      </c>
      <c r="B28" s="592"/>
      <c r="C28" s="592"/>
      <c r="D28" s="592"/>
      <c r="E28" s="592"/>
      <c r="F28" s="592"/>
      <c r="G28" s="593"/>
      <c r="I28" s="591" t="s">
        <v>172</v>
      </c>
      <c r="J28" s="592"/>
      <c r="K28" s="592"/>
      <c r="L28" s="592"/>
      <c r="M28" s="592"/>
      <c r="N28" s="592"/>
      <c r="O28" s="593"/>
    </row>
    <row r="29" spans="1:23">
      <c r="A29" s="594" t="s">
        <v>139</v>
      </c>
      <c r="B29" s="626">
        <v>2000</v>
      </c>
      <c r="C29" s="596" t="s">
        <v>140</v>
      </c>
      <c r="D29" s="596"/>
      <c r="E29" s="596"/>
      <c r="F29" s="596"/>
      <c r="G29" s="598"/>
      <c r="I29" s="594" t="s">
        <v>238</v>
      </c>
      <c r="J29" s="626">
        <v>2000</v>
      </c>
      <c r="K29" s="596" t="s">
        <v>239</v>
      </c>
      <c r="L29" s="596"/>
      <c r="M29" s="596"/>
      <c r="N29" s="596"/>
      <c r="O29" s="598"/>
    </row>
    <row r="30" spans="1:23">
      <c r="A30" s="594" t="s">
        <v>138</v>
      </c>
      <c r="B30" s="627">
        <f>375%*95%*95%*95%</f>
        <v>3.2151562499999997</v>
      </c>
      <c r="C30" s="596" t="s">
        <v>226</v>
      </c>
      <c r="D30" s="596"/>
      <c r="E30" s="596"/>
      <c r="F30" s="596"/>
      <c r="G30" s="598" t="s">
        <v>423</v>
      </c>
      <c r="I30" s="594" t="s">
        <v>241</v>
      </c>
      <c r="J30" s="616">
        <f>60%*1200</f>
        <v>720</v>
      </c>
      <c r="K30" s="596" t="s">
        <v>240</v>
      </c>
      <c r="L30" s="596"/>
      <c r="M30" s="596"/>
      <c r="N30" s="596"/>
      <c r="O30" s="598" t="s">
        <v>422</v>
      </c>
    </row>
    <row r="31" spans="1:23">
      <c r="A31" s="591" t="s">
        <v>175</v>
      </c>
      <c r="B31" s="592"/>
      <c r="C31" s="592"/>
      <c r="D31" s="592"/>
      <c r="E31" s="592"/>
      <c r="F31" s="592"/>
      <c r="G31" s="593"/>
      <c r="I31" s="591" t="s">
        <v>175</v>
      </c>
      <c r="J31" s="592"/>
      <c r="K31" s="592"/>
      <c r="L31" s="592"/>
      <c r="M31" s="592"/>
      <c r="N31" s="592"/>
      <c r="O31" s="593"/>
    </row>
    <row r="32" spans="1:23">
      <c r="A32" s="594" t="s">
        <v>173</v>
      </c>
      <c r="B32" s="596" t="s">
        <v>227</v>
      </c>
      <c r="C32" s="596"/>
      <c r="D32" s="596"/>
      <c r="E32" s="596"/>
      <c r="F32" s="596"/>
      <c r="G32" s="598"/>
      <c r="I32" s="594" t="s">
        <v>173</v>
      </c>
      <c r="J32" s="596"/>
      <c r="K32" s="596"/>
      <c r="L32" s="596"/>
      <c r="M32" s="596"/>
      <c r="N32" s="596"/>
      <c r="O32" s="598"/>
    </row>
    <row r="33" spans="1:24">
      <c r="A33" s="594" t="s">
        <v>167</v>
      </c>
      <c r="B33" s="606">
        <v>15</v>
      </c>
      <c r="C33" s="596" t="s">
        <v>168</v>
      </c>
      <c r="D33" s="596"/>
      <c r="E33" s="596"/>
      <c r="F33" s="596"/>
      <c r="G33" s="598"/>
      <c r="I33" s="594" t="s">
        <v>167</v>
      </c>
      <c r="J33" s="606">
        <v>20</v>
      </c>
      <c r="K33" s="596" t="s">
        <v>168</v>
      </c>
      <c r="L33" s="596"/>
      <c r="M33" s="596"/>
      <c r="N33" s="596"/>
      <c r="O33" s="598"/>
    </row>
    <row r="34" spans="1:24">
      <c r="A34" s="594" t="s">
        <v>149</v>
      </c>
      <c r="B34" s="606">
        <v>11000</v>
      </c>
      <c r="C34" s="596" t="s">
        <v>684</v>
      </c>
      <c r="D34" s="596"/>
      <c r="E34" s="596"/>
      <c r="F34" s="596"/>
      <c r="G34" s="598"/>
      <c r="I34" s="594" t="s">
        <v>149</v>
      </c>
      <c r="J34" s="606">
        <v>4000</v>
      </c>
      <c r="K34" s="596" t="s">
        <v>685</v>
      </c>
      <c r="L34" s="596"/>
      <c r="M34" s="596"/>
      <c r="N34" s="596"/>
      <c r="O34" s="598"/>
    </row>
    <row r="35" spans="1:24">
      <c r="A35" s="594" t="s">
        <v>154</v>
      </c>
      <c r="B35" s="744">
        <f>B37*B110/B30</f>
        <v>4138.2914990583486</v>
      </c>
      <c r="C35" s="596" t="s">
        <v>705</v>
      </c>
      <c r="D35" s="596"/>
      <c r="E35" s="596"/>
      <c r="F35" s="596"/>
      <c r="G35" s="598"/>
      <c r="I35" s="594" t="s">
        <v>242</v>
      </c>
      <c r="J35" s="606"/>
      <c r="K35" s="596"/>
      <c r="L35" s="596"/>
      <c r="M35" s="596"/>
      <c r="N35" s="596"/>
      <c r="O35" s="598"/>
    </row>
    <row r="36" spans="1:24">
      <c r="A36" s="594"/>
      <c r="B36" s="606">
        <f>B35*(B30-100%)</f>
        <v>9166.9622784609692</v>
      </c>
      <c r="C36" s="596" t="s">
        <v>152</v>
      </c>
      <c r="D36" s="596"/>
      <c r="E36" s="596"/>
      <c r="F36" s="596"/>
      <c r="G36" s="628"/>
      <c r="I36" s="594"/>
      <c r="J36" s="606">
        <f>J30</f>
        <v>720</v>
      </c>
      <c r="K36" s="596" t="s">
        <v>244</v>
      </c>
      <c r="L36" s="596"/>
      <c r="M36" s="596"/>
      <c r="N36" s="596"/>
      <c r="O36" s="598"/>
    </row>
    <row r="37" spans="1:24">
      <c r="A37" s="594"/>
      <c r="B37" s="744">
        <f>Q180/C157*1000</f>
        <v>17152.238097010591</v>
      </c>
      <c r="C37" s="596" t="s">
        <v>155</v>
      </c>
      <c r="D37" s="596"/>
      <c r="E37" s="596"/>
      <c r="F37" s="596"/>
      <c r="G37" s="628"/>
      <c r="I37" s="594"/>
      <c r="J37" s="606">
        <f>J36/B110</f>
        <v>928.1755640552791</v>
      </c>
      <c r="K37" s="596" t="s">
        <v>155</v>
      </c>
      <c r="L37" s="596"/>
      <c r="M37" s="596"/>
      <c r="N37" s="596"/>
      <c r="O37" s="598"/>
    </row>
    <row r="38" spans="1:24">
      <c r="A38" s="594" t="s">
        <v>230</v>
      </c>
      <c r="B38" s="606">
        <f>B37*B113-B35*B114</f>
        <v>757.63814872606201</v>
      </c>
      <c r="C38" s="596" t="s">
        <v>403</v>
      </c>
      <c r="D38" s="596"/>
      <c r="E38" s="596"/>
      <c r="F38" s="596"/>
      <c r="G38" s="628"/>
      <c r="I38" s="594" t="s">
        <v>230</v>
      </c>
      <c r="J38" s="606">
        <f>J37*B113</f>
        <v>78.013570697967211</v>
      </c>
      <c r="K38" s="596" t="s">
        <v>403</v>
      </c>
      <c r="L38" s="596"/>
      <c r="M38" s="596"/>
      <c r="N38" s="596"/>
      <c r="O38" s="598"/>
    </row>
    <row r="39" spans="1:24">
      <c r="A39" s="594" t="s">
        <v>153</v>
      </c>
      <c r="B39" s="629">
        <f>B35*B108/1000</f>
        <v>0.8496394651492738</v>
      </c>
      <c r="C39" s="596" t="s">
        <v>156</v>
      </c>
      <c r="D39" s="596"/>
      <c r="E39" s="596"/>
      <c r="F39" s="596"/>
      <c r="G39" s="598"/>
      <c r="I39" s="594" t="s">
        <v>243</v>
      </c>
      <c r="J39" s="629">
        <f>J37*B107/1000</f>
        <v>0.18794179710244482</v>
      </c>
      <c r="K39" s="596" t="s">
        <v>246</v>
      </c>
      <c r="L39" s="596"/>
      <c r="M39" s="596"/>
      <c r="N39" s="596"/>
      <c r="O39" s="598"/>
    </row>
    <row r="40" spans="1:24">
      <c r="A40" s="594"/>
      <c r="B40" s="629">
        <f>B37*B107/1000</f>
        <v>3.4730740359042684</v>
      </c>
      <c r="C40" s="596" t="s">
        <v>157</v>
      </c>
      <c r="D40" s="596"/>
      <c r="E40" s="596"/>
      <c r="F40" s="596"/>
      <c r="G40" s="598"/>
      <c r="I40" s="594"/>
      <c r="L40" s="596"/>
      <c r="M40" s="596"/>
      <c r="N40" s="596"/>
      <c r="O40" s="598"/>
    </row>
    <row r="41" spans="1:24" s="615" customFormat="1">
      <c r="A41" s="611" t="s">
        <v>146</v>
      </c>
      <c r="B41" s="630">
        <f>(-PMT(B111,B33,B34)-B38)/(B40-B39)</f>
        <v>88.324655753834378</v>
      </c>
      <c r="C41" s="613" t="s">
        <v>164</v>
      </c>
      <c r="D41" s="613"/>
      <c r="E41" s="613"/>
      <c r="F41" s="613"/>
      <c r="G41" s="614"/>
      <c r="I41" s="611" t="s">
        <v>146</v>
      </c>
      <c r="J41" s="630">
        <f>(-PMT(J111,J33,J34)-J38)/J39</f>
        <v>649.06492958317006</v>
      </c>
      <c r="K41" s="613" t="s">
        <v>164</v>
      </c>
      <c r="L41" s="613"/>
      <c r="M41" s="613"/>
      <c r="N41" s="613"/>
      <c r="O41" s="614"/>
    </row>
    <row r="42" spans="1:24">
      <c r="A42" s="591" t="s">
        <v>176</v>
      </c>
      <c r="B42" s="592"/>
      <c r="C42" s="592"/>
      <c r="D42" s="592"/>
      <c r="E42" s="592"/>
      <c r="F42" s="592"/>
      <c r="G42" s="593"/>
      <c r="H42" s="610"/>
      <c r="I42" s="591" t="s">
        <v>176</v>
      </c>
      <c r="J42" s="592"/>
      <c r="K42" s="592"/>
      <c r="L42" s="592"/>
      <c r="M42" s="592"/>
      <c r="N42" s="592"/>
      <c r="O42" s="593"/>
    </row>
    <row r="43" spans="1:24">
      <c r="A43" s="594" t="s">
        <v>141</v>
      </c>
      <c r="B43" s="744">
        <f>B35*B29/1000</f>
        <v>8276.5829981166971</v>
      </c>
      <c r="C43" s="596" t="s">
        <v>158</v>
      </c>
      <c r="D43" s="596"/>
      <c r="E43" s="596"/>
      <c r="F43" s="596"/>
      <c r="G43" s="598"/>
      <c r="I43" s="594" t="s">
        <v>141</v>
      </c>
      <c r="J43" s="606"/>
      <c r="K43" s="596"/>
      <c r="L43" s="596"/>
      <c r="M43" s="596"/>
      <c r="N43" s="596"/>
      <c r="O43" s="598"/>
    </row>
    <row r="44" spans="1:24">
      <c r="A44" s="594"/>
      <c r="B44" s="606">
        <f>B36*B29/1000</f>
        <v>18333.924556921938</v>
      </c>
      <c r="C44" s="596" t="s">
        <v>159</v>
      </c>
      <c r="D44" s="596"/>
      <c r="E44" s="596"/>
      <c r="F44" s="596"/>
      <c r="G44" s="598"/>
      <c r="I44" s="594"/>
      <c r="J44" s="606">
        <f>J36*J29/1000</f>
        <v>1440</v>
      </c>
      <c r="K44" s="596" t="s">
        <v>245</v>
      </c>
      <c r="L44" s="596"/>
      <c r="M44" s="596"/>
      <c r="N44" s="596"/>
      <c r="O44" s="598"/>
    </row>
    <row r="45" spans="1:24">
      <c r="A45" s="594"/>
      <c r="B45" s="744">
        <f>B37*B29/1000</f>
        <v>34304.476194021183</v>
      </c>
      <c r="C45" s="596" t="s">
        <v>160</v>
      </c>
      <c r="D45" s="596"/>
      <c r="E45" s="596"/>
      <c r="F45" s="596"/>
      <c r="G45" s="598"/>
      <c r="I45" s="594"/>
      <c r="J45" s="606">
        <f>J37*J29/1000</f>
        <v>1856.3511281105582</v>
      </c>
      <c r="K45" s="596" t="s">
        <v>160</v>
      </c>
      <c r="L45" s="596"/>
      <c r="M45" s="596"/>
      <c r="N45" s="596"/>
      <c r="O45" s="598"/>
    </row>
    <row r="46" spans="1:24">
      <c r="A46" s="594" t="s">
        <v>161</v>
      </c>
      <c r="B46" s="606">
        <f>B43*$B$108</f>
        <v>1699.2789302985475</v>
      </c>
      <c r="C46" s="596" t="s">
        <v>156</v>
      </c>
      <c r="D46" s="596"/>
      <c r="E46" s="596"/>
      <c r="F46" s="596"/>
      <c r="G46" s="598"/>
      <c r="I46" s="594" t="s">
        <v>161</v>
      </c>
      <c r="J46" s="606">
        <f>J45*B107</f>
        <v>375.88359420488968</v>
      </c>
      <c r="K46" s="596" t="s">
        <v>246</v>
      </c>
      <c r="L46" s="596"/>
      <c r="M46" s="596"/>
      <c r="N46" s="596"/>
      <c r="O46" s="598"/>
    </row>
    <row r="47" spans="1:24">
      <c r="A47" s="594"/>
      <c r="B47" s="606">
        <f>B45*$B$107</f>
        <v>6946.1480718085368</v>
      </c>
      <c r="C47" s="596" t="s">
        <v>157</v>
      </c>
      <c r="D47" s="596"/>
      <c r="E47" s="596"/>
      <c r="F47" s="596"/>
      <c r="G47" s="598"/>
      <c r="I47" s="594"/>
      <c r="L47" s="596"/>
      <c r="M47" s="596"/>
      <c r="N47" s="596"/>
      <c r="O47" s="598"/>
    </row>
    <row r="48" spans="1:24" s="617" customFormat="1">
      <c r="A48" s="594"/>
      <c r="B48" s="616">
        <f>B47-B46</f>
        <v>5246.8691415099893</v>
      </c>
      <c r="C48" s="596" t="s">
        <v>165</v>
      </c>
      <c r="D48" s="596"/>
      <c r="E48" s="596"/>
      <c r="F48" s="596"/>
      <c r="G48" s="598"/>
      <c r="I48" s="594"/>
      <c r="J48" s="616"/>
      <c r="K48" s="596"/>
      <c r="L48" s="596"/>
      <c r="M48" s="596"/>
      <c r="N48" s="596"/>
      <c r="O48" s="598"/>
      <c r="Q48" s="590"/>
      <c r="R48" s="590"/>
      <c r="S48" s="590"/>
      <c r="T48" s="590"/>
      <c r="U48" s="590"/>
      <c r="V48" s="590"/>
      <c r="W48" s="590"/>
      <c r="X48" s="590"/>
    </row>
    <row r="49" spans="1:15">
      <c r="A49" s="591" t="s">
        <v>207</v>
      </c>
      <c r="B49" s="592"/>
      <c r="C49" s="592"/>
      <c r="D49" s="592"/>
      <c r="E49" s="592"/>
      <c r="F49" s="592"/>
      <c r="G49" s="593"/>
      <c r="H49" s="610"/>
      <c r="I49" s="591" t="s">
        <v>207</v>
      </c>
      <c r="J49" s="592"/>
      <c r="K49" s="592"/>
      <c r="L49" s="592"/>
      <c r="M49" s="592"/>
      <c r="N49" s="592"/>
      <c r="O49" s="593"/>
    </row>
    <row r="50" spans="1:15">
      <c r="A50" s="618" t="s">
        <v>228</v>
      </c>
      <c r="B50" s="619"/>
      <c r="C50" s="620"/>
      <c r="D50" s="620"/>
      <c r="E50" s="620"/>
      <c r="F50" s="620"/>
      <c r="G50" s="621"/>
      <c r="I50" s="594"/>
      <c r="J50" s="619"/>
      <c r="K50" s="620"/>
      <c r="L50" s="620"/>
      <c r="M50" s="620"/>
      <c r="N50" s="620"/>
      <c r="O50" s="621"/>
    </row>
    <row r="51" spans="1:15">
      <c r="A51" s="622"/>
      <c r="B51" s="623"/>
      <c r="C51" s="624"/>
      <c r="D51" s="624"/>
      <c r="E51" s="624"/>
      <c r="F51" s="624"/>
      <c r="G51" s="625"/>
      <c r="I51" s="622"/>
      <c r="J51" s="623"/>
      <c r="K51" s="624"/>
      <c r="L51" s="624"/>
      <c r="M51" s="624"/>
      <c r="N51" s="624"/>
      <c r="O51" s="625"/>
    </row>
    <row r="54" spans="1:15" ht="18.75">
      <c r="A54" s="587" t="s">
        <v>179</v>
      </c>
      <c r="B54" s="588"/>
      <c r="C54" s="588"/>
      <c r="D54" s="588"/>
      <c r="E54" s="588"/>
      <c r="F54" s="588"/>
      <c r="G54" s="589"/>
    </row>
    <row r="55" spans="1:15">
      <c r="A55" s="591" t="s">
        <v>172</v>
      </c>
      <c r="B55" s="592"/>
      <c r="C55" s="592"/>
      <c r="D55" s="592"/>
      <c r="E55" s="592"/>
      <c r="F55" s="592"/>
      <c r="G55" s="593"/>
    </row>
    <row r="56" spans="1:15">
      <c r="A56" s="594" t="s">
        <v>216</v>
      </c>
      <c r="B56" s="595">
        <v>0.2</v>
      </c>
      <c r="C56" s="596" t="s">
        <v>217</v>
      </c>
      <c r="D56" s="596"/>
      <c r="E56" s="596"/>
      <c r="F56" s="597"/>
      <c r="G56" s="598"/>
    </row>
    <row r="57" spans="1:15">
      <c r="A57" s="594"/>
      <c r="B57" s="599">
        <f>B56*$D$157</f>
        <v>2155.2000000000003</v>
      </c>
      <c r="C57" s="596" t="s">
        <v>137</v>
      </c>
      <c r="D57" s="596"/>
      <c r="E57" s="596"/>
      <c r="F57" s="596"/>
      <c r="G57" s="598"/>
    </row>
    <row r="58" spans="1:15">
      <c r="A58" s="600" t="s">
        <v>133</v>
      </c>
      <c r="B58" s="601">
        <f>361424/2895711</f>
        <v>0.12481356046925954</v>
      </c>
      <c r="C58" s="602" t="s">
        <v>135</v>
      </c>
      <c r="D58" s="602"/>
      <c r="E58" s="602"/>
      <c r="F58" s="602"/>
      <c r="G58" s="603" t="s">
        <v>421</v>
      </c>
    </row>
    <row r="59" spans="1:15">
      <c r="A59" s="591" t="s">
        <v>175</v>
      </c>
      <c r="B59" s="592"/>
      <c r="C59" s="592"/>
      <c r="D59" s="592"/>
      <c r="E59" s="592"/>
      <c r="F59" s="592"/>
      <c r="G59" s="593"/>
    </row>
    <row r="60" spans="1:15">
      <c r="A60" s="594" t="s">
        <v>173</v>
      </c>
      <c r="B60" s="596" t="s">
        <v>225</v>
      </c>
      <c r="C60" s="596"/>
      <c r="D60" s="596"/>
      <c r="E60" s="596"/>
      <c r="F60" s="596"/>
      <c r="G60" s="603"/>
    </row>
    <row r="61" spans="1:15">
      <c r="A61" s="594"/>
      <c r="B61" s="596"/>
      <c r="C61" s="596"/>
      <c r="D61" s="596"/>
      <c r="E61" s="596"/>
      <c r="F61" s="596"/>
      <c r="G61" s="603"/>
    </row>
    <row r="62" spans="1:15">
      <c r="A62" s="594" t="s">
        <v>213</v>
      </c>
      <c r="B62" s="605">
        <v>36.093031675576057</v>
      </c>
      <c r="C62" s="596" t="s">
        <v>204</v>
      </c>
      <c r="D62" s="596"/>
      <c r="E62" s="596"/>
      <c r="F62" s="596"/>
      <c r="G62" s="604" t="s">
        <v>428</v>
      </c>
    </row>
    <row r="63" spans="1:15">
      <c r="A63" s="594" t="s">
        <v>167</v>
      </c>
      <c r="B63" s="605">
        <v>50</v>
      </c>
      <c r="C63" s="596" t="s">
        <v>168</v>
      </c>
      <c r="D63" s="596"/>
      <c r="E63" s="596"/>
      <c r="F63" s="596"/>
      <c r="G63" s="604" t="s">
        <v>428</v>
      </c>
    </row>
    <row r="64" spans="1:15">
      <c r="A64" s="594" t="s">
        <v>218</v>
      </c>
      <c r="B64" s="605">
        <f>200*B62</f>
        <v>7218.6063351152116</v>
      </c>
      <c r="C64" s="596" t="s">
        <v>399</v>
      </c>
      <c r="D64" s="596"/>
      <c r="E64" s="596"/>
      <c r="F64" s="596"/>
      <c r="G64" s="604" t="s">
        <v>428</v>
      </c>
    </row>
    <row r="65" spans="1:7">
      <c r="A65" s="594" t="s">
        <v>219</v>
      </c>
      <c r="B65" s="605">
        <v>3300.470666796436</v>
      </c>
      <c r="C65" s="596" t="s">
        <v>220</v>
      </c>
      <c r="D65" s="596"/>
      <c r="E65" s="596"/>
      <c r="F65" s="596"/>
      <c r="G65" s="604" t="s">
        <v>428</v>
      </c>
    </row>
    <row r="66" spans="1:7">
      <c r="A66" s="594" t="s">
        <v>223</v>
      </c>
      <c r="B66" s="606">
        <f>B65*$B$113</f>
        <v>277.40603359102869</v>
      </c>
      <c r="C66" s="596" t="s">
        <v>402</v>
      </c>
      <c r="D66" s="596"/>
      <c r="E66" s="596"/>
      <c r="F66" s="596"/>
      <c r="G66" s="598"/>
    </row>
    <row r="67" spans="1:7">
      <c r="A67" s="594" t="s">
        <v>221</v>
      </c>
      <c r="B67" s="609">
        <f>B65*$B$107/1000</f>
        <v>0.66829640040457239</v>
      </c>
      <c r="C67" s="596" t="s">
        <v>222</v>
      </c>
      <c r="D67" s="596"/>
      <c r="E67" s="596"/>
      <c r="F67" s="596"/>
      <c r="G67" s="598"/>
    </row>
    <row r="68" spans="1:7">
      <c r="A68" s="611" t="s">
        <v>146</v>
      </c>
      <c r="B68" s="612">
        <f>(-PMT($B$111,B63,B64)-B66)/B67</f>
        <v>87.717872248640958</v>
      </c>
      <c r="C68" s="613" t="s">
        <v>164</v>
      </c>
      <c r="D68" s="613"/>
      <c r="E68" s="613"/>
      <c r="F68" s="613"/>
      <c r="G68" s="614"/>
    </row>
    <row r="69" spans="1:7">
      <c r="A69" s="591" t="s">
        <v>180</v>
      </c>
      <c r="B69" s="592"/>
      <c r="C69" s="592"/>
      <c r="D69" s="592"/>
      <c r="E69" s="592"/>
      <c r="F69" s="592"/>
      <c r="G69" s="593"/>
    </row>
    <row r="70" spans="1:7">
      <c r="A70" s="594" t="s">
        <v>141</v>
      </c>
      <c r="B70" s="616">
        <f>B65*B57/1000</f>
        <v>7113.1743810796806</v>
      </c>
      <c r="C70" s="596" t="s">
        <v>30</v>
      </c>
      <c r="D70" s="596"/>
      <c r="E70" s="596"/>
      <c r="F70" s="596"/>
      <c r="G70" s="598"/>
    </row>
    <row r="71" spans="1:7">
      <c r="A71" s="594" t="s">
        <v>145</v>
      </c>
      <c r="B71" s="616">
        <f>B67*B57</f>
        <v>1440.3124021519345</v>
      </c>
      <c r="C71" s="596" t="s">
        <v>181</v>
      </c>
      <c r="D71" s="596"/>
      <c r="E71" s="596"/>
      <c r="F71" s="596"/>
      <c r="G71" s="598"/>
    </row>
    <row r="72" spans="1:7">
      <c r="A72" s="591" t="s">
        <v>207</v>
      </c>
      <c r="B72" s="592"/>
      <c r="C72" s="592"/>
      <c r="D72" s="592"/>
      <c r="E72" s="592"/>
      <c r="F72" s="592"/>
      <c r="G72" s="593"/>
    </row>
    <row r="73" spans="1:7">
      <c r="A73" s="618" t="s">
        <v>224</v>
      </c>
      <c r="B73" s="619"/>
      <c r="C73" s="620"/>
      <c r="D73" s="620"/>
      <c r="E73" s="620"/>
      <c r="F73" s="620"/>
      <c r="G73" s="621"/>
    </row>
    <row r="74" spans="1:7">
      <c r="A74" s="622"/>
      <c r="B74" s="623"/>
      <c r="C74" s="624"/>
      <c r="D74" s="624"/>
      <c r="E74" s="624"/>
      <c r="F74" s="624"/>
      <c r="G74" s="625"/>
    </row>
    <row r="77" spans="1:7" s="585" customFormat="1" ht="18.75">
      <c r="A77" s="584" t="s">
        <v>185</v>
      </c>
      <c r="B77" s="631" t="s">
        <v>696</v>
      </c>
      <c r="C77" s="632"/>
    </row>
    <row r="100" spans="1:57" s="638" customFormat="1" ht="30">
      <c r="A100" s="633"/>
      <c r="B100" s="634" t="s">
        <v>186</v>
      </c>
      <c r="C100" s="635" t="s">
        <v>169</v>
      </c>
      <c r="D100" s="635" t="s">
        <v>233</v>
      </c>
      <c r="E100" s="635" t="s">
        <v>234</v>
      </c>
      <c r="F100" s="636" t="s">
        <v>235</v>
      </c>
      <c r="G100" s="636" t="s">
        <v>236</v>
      </c>
      <c r="H100" s="635" t="s">
        <v>237</v>
      </c>
      <c r="I100" s="637"/>
      <c r="J100" s="637"/>
    </row>
    <row r="101" spans="1:57">
      <c r="A101" s="633" t="s">
        <v>232</v>
      </c>
      <c r="B101" s="639">
        <f>SUM('Nulmeting 2011'!B21:P21)</f>
        <v>36772.490543442946</v>
      </c>
      <c r="C101" s="639">
        <f>SUM(Q192:Q194)</f>
        <v>38883.492773949489</v>
      </c>
      <c r="D101" s="639">
        <f>$C$101-B21</f>
        <v>36737.017684083876</v>
      </c>
      <c r="E101" s="639">
        <f>$C$101-J21</f>
        <v>36620.845594536906</v>
      </c>
      <c r="F101" s="639">
        <f>$C$101-B71</f>
        <v>37443.180371797556</v>
      </c>
      <c r="G101" s="640">
        <f>$C$101-B48</f>
        <v>33636.623632439499</v>
      </c>
      <c r="H101" s="639">
        <f>$C$101-J46</f>
        <v>38507.609179744599</v>
      </c>
    </row>
    <row r="102" spans="1:57">
      <c r="A102" s="641" t="s">
        <v>723</v>
      </c>
      <c r="B102" s="642"/>
      <c r="C102" s="642"/>
      <c r="D102" s="643">
        <f>D101/$C$101-1</f>
        <v>-5.5202733518416647E-2</v>
      </c>
      <c r="E102" s="643">
        <f>E101/$C$101-1</f>
        <v>-5.81904303856281E-2</v>
      </c>
      <c r="F102" s="643">
        <f>F101/$C$101-1</f>
        <v>-3.7041744437035007E-2</v>
      </c>
      <c r="G102" s="643">
        <f>G101/$C$101-1</f>
        <v>-0.13493821586483601</v>
      </c>
      <c r="H102" s="643">
        <f>H101/$C$101-1</f>
        <v>-9.6669194917776702E-3</v>
      </c>
    </row>
    <row r="103" spans="1:57">
      <c r="A103" s="644" t="s">
        <v>724</v>
      </c>
      <c r="B103" s="645"/>
      <c r="C103" s="645"/>
      <c r="D103" s="646">
        <f>D101/$B$101-1</f>
        <v>-9.6465751530105948E-4</v>
      </c>
      <c r="E103" s="646">
        <f>E101/$B$101-1</f>
        <v>-4.1238694106641161E-3</v>
      </c>
      <c r="F103" s="646">
        <f>F101/$B$101-1</f>
        <v>1.8238901375533967E-2</v>
      </c>
      <c r="G103" s="646">
        <f>G101/$B$101-1</f>
        <v>-8.5277523079344886E-2</v>
      </c>
      <c r="H103" s="646">
        <f>H101/$B$101-1</f>
        <v>4.7185235774329426E-2</v>
      </c>
    </row>
    <row r="104" spans="1:57">
      <c r="A104" s="596"/>
      <c r="B104" s="596"/>
      <c r="C104" s="596"/>
      <c r="D104" s="597"/>
      <c r="E104" s="597"/>
      <c r="F104" s="597"/>
      <c r="G104" s="597"/>
      <c r="H104" s="597"/>
      <c r="R104" s="647"/>
      <c r="S104" s="647"/>
      <c r="T104" s="647"/>
      <c r="U104" s="647"/>
      <c r="V104" s="647"/>
      <c r="W104" s="647"/>
      <c r="X104" s="647"/>
      <c r="Y104" s="647"/>
      <c r="Z104" s="647"/>
      <c r="AA104" s="647"/>
      <c r="AB104" s="647"/>
      <c r="AC104" s="647"/>
      <c r="AD104" s="647"/>
      <c r="AE104" s="647"/>
      <c r="AF104" s="647"/>
      <c r="AG104" s="647"/>
      <c r="AH104" s="647"/>
      <c r="AI104" s="647"/>
      <c r="AJ104" s="647"/>
      <c r="AK104" s="647"/>
      <c r="AL104" s="647"/>
      <c r="AM104" s="647"/>
      <c r="AN104" s="647"/>
      <c r="AO104" s="647"/>
      <c r="AP104" s="647"/>
      <c r="AQ104" s="647"/>
      <c r="AR104" s="647"/>
      <c r="AS104" s="647"/>
      <c r="AT104" s="647"/>
      <c r="AU104" s="647"/>
      <c r="AV104" s="647"/>
      <c r="AW104" s="647"/>
      <c r="AX104" s="647"/>
      <c r="AY104" s="647"/>
      <c r="AZ104" s="647"/>
      <c r="BA104" s="647"/>
      <c r="BB104" s="647"/>
      <c r="BC104" s="647"/>
      <c r="BD104" s="647"/>
      <c r="BE104" s="647"/>
    </row>
    <row r="105" spans="1:57" s="649" customFormat="1">
      <c r="A105" s="648" t="s">
        <v>183</v>
      </c>
      <c r="B105" s="648"/>
      <c r="C105" s="648"/>
      <c r="D105" s="648"/>
      <c r="E105" s="648"/>
      <c r="F105" s="648"/>
      <c r="G105" s="648"/>
      <c r="H105" s="648"/>
      <c r="I105" s="648"/>
      <c r="J105" s="648"/>
      <c r="K105" s="648"/>
      <c r="L105" s="648"/>
      <c r="M105" s="648"/>
      <c r="N105" s="648"/>
      <c r="O105" s="648"/>
      <c r="P105" s="648"/>
      <c r="Q105" s="648"/>
    </row>
    <row r="106" spans="1:57" s="654" customFormat="1">
      <c r="A106" s="650" t="s">
        <v>144</v>
      </c>
      <c r="B106" s="650"/>
      <c r="C106" s="650"/>
      <c r="D106" s="650"/>
      <c r="E106" s="650"/>
      <c r="F106" s="651"/>
      <c r="G106" s="651"/>
      <c r="H106" s="651"/>
      <c r="I106" s="650"/>
      <c r="J106" s="650"/>
      <c r="K106" s="650"/>
      <c r="L106" s="650"/>
      <c r="M106" s="650"/>
      <c r="N106" s="650"/>
      <c r="O106" s="650"/>
      <c r="P106" s="650"/>
      <c r="Q106" s="650"/>
      <c r="R106" s="652"/>
      <c r="S106" s="652"/>
      <c r="T106" s="652"/>
      <c r="U106" s="652"/>
      <c r="V106" s="652"/>
      <c r="W106" s="652"/>
      <c r="X106" s="652"/>
      <c r="Y106" s="652"/>
      <c r="Z106" s="653"/>
      <c r="AA106" s="653"/>
      <c r="AB106" s="653"/>
      <c r="AC106" s="653"/>
      <c r="AD106" s="653"/>
      <c r="AE106" s="653"/>
      <c r="AF106" s="653"/>
      <c r="AG106" s="653"/>
      <c r="AH106" s="653"/>
      <c r="AI106" s="653"/>
      <c r="AJ106" s="653"/>
      <c r="AK106" s="653"/>
      <c r="AL106" s="653"/>
      <c r="AM106" s="653"/>
      <c r="AN106" s="653"/>
      <c r="AO106" s="653"/>
      <c r="AP106" s="653"/>
      <c r="AQ106" s="653"/>
      <c r="AR106" s="653"/>
      <c r="AS106" s="653"/>
      <c r="AT106" s="653"/>
      <c r="AU106" s="653"/>
      <c r="AV106" s="653"/>
      <c r="AW106" s="653"/>
      <c r="AX106" s="653"/>
      <c r="AY106" s="653"/>
      <c r="AZ106" s="653"/>
      <c r="BA106" s="653"/>
      <c r="BB106" s="653"/>
      <c r="BC106" s="653"/>
      <c r="BD106" s="653"/>
      <c r="BE106" s="653"/>
    </row>
    <row r="107" spans="1:57">
      <c r="A107" s="651" t="s">
        <v>129</v>
      </c>
      <c r="B107" s="655">
        <f>Q192/Q180</f>
        <v>0.20248518101609023</v>
      </c>
      <c r="C107" s="651" t="s">
        <v>143</v>
      </c>
      <c r="D107" s="651" t="s">
        <v>170</v>
      </c>
      <c r="E107" s="651"/>
      <c r="F107" s="651"/>
      <c r="G107" s="651"/>
      <c r="H107" s="651"/>
      <c r="I107" s="651"/>
      <c r="J107" s="651"/>
      <c r="K107" s="651"/>
      <c r="L107" s="651"/>
      <c r="M107" s="651"/>
      <c r="N107" s="651"/>
      <c r="O107" s="651"/>
      <c r="P107" s="651"/>
      <c r="Q107" s="651"/>
      <c r="R107" s="656"/>
      <c r="S107" s="656"/>
      <c r="T107" s="656"/>
      <c r="U107" s="656"/>
      <c r="V107" s="656"/>
      <c r="W107" s="656"/>
      <c r="X107" s="656"/>
      <c r="Y107" s="656"/>
      <c r="Z107" s="647"/>
      <c r="AA107" s="647"/>
      <c r="AB107" s="647"/>
      <c r="AC107" s="647"/>
      <c r="AD107" s="647"/>
      <c r="AE107" s="647"/>
      <c r="AF107" s="647"/>
      <c r="AG107" s="647"/>
      <c r="AH107" s="647"/>
      <c r="AI107" s="647"/>
      <c r="AJ107" s="647"/>
      <c r="AK107" s="647"/>
      <c r="AL107" s="647"/>
      <c r="AM107" s="647"/>
      <c r="AN107" s="647"/>
      <c r="AO107" s="647"/>
      <c r="AP107" s="647"/>
      <c r="AQ107" s="647"/>
      <c r="AR107" s="647"/>
      <c r="AS107" s="647"/>
      <c r="AT107" s="647"/>
      <c r="AU107" s="647"/>
      <c r="AV107" s="647"/>
      <c r="AW107" s="647"/>
      <c r="AX107" s="647"/>
      <c r="AY107" s="647"/>
      <c r="AZ107" s="647"/>
      <c r="BA107" s="647"/>
      <c r="BB107" s="647"/>
      <c r="BC107" s="647"/>
      <c r="BD107" s="647"/>
      <c r="BE107" s="647"/>
    </row>
    <row r="108" spans="1:57">
      <c r="A108" s="651" t="s">
        <v>229</v>
      </c>
      <c r="B108" s="655">
        <f>B186</f>
        <v>0.20531165224649006</v>
      </c>
      <c r="C108" s="651" t="s">
        <v>143</v>
      </c>
      <c r="D108" s="651" t="s">
        <v>151</v>
      </c>
      <c r="E108" s="651"/>
      <c r="F108" s="651"/>
      <c r="G108" s="651"/>
      <c r="H108" s="651"/>
      <c r="I108" s="651"/>
      <c r="J108" s="651"/>
      <c r="K108" s="651"/>
      <c r="L108" s="651"/>
      <c r="M108" s="651"/>
      <c r="N108" s="651"/>
      <c r="O108" s="651"/>
      <c r="P108" s="651"/>
      <c r="Q108" s="651"/>
      <c r="R108" s="656"/>
      <c r="S108" s="656"/>
      <c r="T108" s="656"/>
      <c r="U108" s="656"/>
      <c r="V108" s="656"/>
      <c r="W108" s="656"/>
      <c r="X108" s="656"/>
      <c r="Y108" s="656"/>
      <c r="Z108" s="647"/>
      <c r="AA108" s="647"/>
      <c r="AB108" s="647"/>
      <c r="AC108" s="647"/>
      <c r="AD108" s="647"/>
      <c r="AE108" s="647"/>
      <c r="AF108" s="647"/>
      <c r="AG108" s="647"/>
      <c r="AH108" s="647"/>
      <c r="AI108" s="647"/>
      <c r="AJ108" s="647"/>
      <c r="AK108" s="647"/>
      <c r="AL108" s="647"/>
      <c r="AM108" s="647"/>
      <c r="AN108" s="647"/>
      <c r="AO108" s="647"/>
      <c r="AP108" s="647"/>
      <c r="AQ108" s="647"/>
      <c r="AR108" s="647"/>
      <c r="AS108" s="647"/>
      <c r="AT108" s="647"/>
      <c r="AU108" s="647"/>
      <c r="AV108" s="647"/>
      <c r="AW108" s="647"/>
      <c r="AX108" s="647"/>
      <c r="AY108" s="647"/>
      <c r="AZ108" s="647"/>
      <c r="BA108" s="647"/>
      <c r="BB108" s="647"/>
      <c r="BC108" s="647"/>
      <c r="BD108" s="647"/>
      <c r="BE108" s="647"/>
    </row>
    <row r="109" spans="1:57">
      <c r="A109" s="650" t="s">
        <v>150</v>
      </c>
      <c r="B109" s="655"/>
      <c r="C109" s="651"/>
      <c r="D109" s="651"/>
      <c r="E109" s="651"/>
      <c r="F109" s="651"/>
      <c r="G109" s="651"/>
      <c r="H109" s="651"/>
      <c r="I109" s="651"/>
      <c r="J109" s="651"/>
      <c r="K109" s="651"/>
      <c r="L109" s="651"/>
      <c r="M109" s="651"/>
      <c r="N109" s="651"/>
      <c r="O109" s="651"/>
      <c r="P109" s="651"/>
      <c r="Q109" s="651"/>
      <c r="R109" s="656"/>
      <c r="S109" s="656"/>
      <c r="T109" s="656"/>
      <c r="U109" s="656"/>
      <c r="V109" s="656"/>
      <c r="W109" s="656"/>
      <c r="X109" s="656"/>
      <c r="Y109" s="656"/>
      <c r="Z109" s="647"/>
      <c r="AA109" s="647"/>
      <c r="AB109" s="647"/>
      <c r="AC109" s="647"/>
      <c r="AD109" s="647"/>
      <c r="AE109" s="647"/>
      <c r="AF109" s="647"/>
      <c r="AG109" s="647"/>
      <c r="AH109" s="647"/>
      <c r="AI109" s="647"/>
      <c r="AJ109" s="647"/>
      <c r="AK109" s="647"/>
      <c r="AL109" s="647"/>
      <c r="AM109" s="647"/>
      <c r="AN109" s="647"/>
      <c r="AO109" s="647"/>
      <c r="AP109" s="647"/>
      <c r="AQ109" s="647"/>
      <c r="AR109" s="647"/>
      <c r="AS109" s="647"/>
      <c r="AT109" s="647"/>
      <c r="AU109" s="647"/>
      <c r="AV109" s="647"/>
      <c r="AW109" s="647"/>
      <c r="AX109" s="647"/>
      <c r="AY109" s="647"/>
      <c r="AZ109" s="647"/>
      <c r="BA109" s="647"/>
      <c r="BB109" s="647"/>
      <c r="BC109" s="647"/>
      <c r="BD109" s="647"/>
      <c r="BE109" s="647"/>
    </row>
    <row r="110" spans="1:57">
      <c r="A110" s="651" t="s">
        <v>129</v>
      </c>
      <c r="B110" s="657">
        <f>D159</f>
        <v>0.7757153149499626</v>
      </c>
      <c r="C110" s="651"/>
      <c r="D110" s="651" t="s">
        <v>151</v>
      </c>
      <c r="E110" s="651"/>
      <c r="F110" s="651"/>
      <c r="G110" s="651"/>
      <c r="H110" s="651"/>
      <c r="I110" s="651"/>
      <c r="J110" s="651"/>
      <c r="K110" s="651"/>
      <c r="L110" s="651"/>
      <c r="M110" s="651"/>
      <c r="N110" s="651"/>
      <c r="O110" s="651"/>
      <c r="P110" s="651"/>
      <c r="Q110" s="651"/>
      <c r="R110" s="656"/>
      <c r="S110" s="656"/>
      <c r="T110" s="656"/>
      <c r="U110" s="656"/>
      <c r="V110" s="656"/>
      <c r="W110" s="656"/>
      <c r="X110" s="656"/>
      <c r="Y110" s="656"/>
      <c r="Z110" s="647"/>
      <c r="AA110" s="647"/>
      <c r="AB110" s="647"/>
      <c r="AC110" s="647"/>
      <c r="AD110" s="647"/>
      <c r="AE110" s="647"/>
      <c r="AF110" s="647"/>
      <c r="AG110" s="647"/>
      <c r="AH110" s="647"/>
      <c r="AI110" s="647"/>
      <c r="AJ110" s="647"/>
      <c r="AK110" s="647"/>
      <c r="AL110" s="647"/>
      <c r="AM110" s="647"/>
      <c r="AN110" s="647"/>
      <c r="AO110" s="647"/>
      <c r="AP110" s="647"/>
      <c r="AQ110" s="647"/>
      <c r="AR110" s="647"/>
      <c r="AS110" s="647"/>
      <c r="AT110" s="647"/>
      <c r="AU110" s="647"/>
      <c r="AV110" s="647"/>
      <c r="AW110" s="647"/>
      <c r="AX110" s="647"/>
      <c r="AY110" s="647"/>
      <c r="AZ110" s="647"/>
      <c r="BA110" s="647"/>
      <c r="BB110" s="647"/>
      <c r="BC110" s="647"/>
      <c r="BD110" s="647"/>
      <c r="BE110" s="647"/>
    </row>
    <row r="111" spans="1:57">
      <c r="A111" s="650" t="s">
        <v>166</v>
      </c>
      <c r="B111" s="657">
        <f>'energieprijs en discontovoet'!C39</f>
        <v>0.04</v>
      </c>
      <c r="C111" s="651"/>
      <c r="D111" s="651" t="s">
        <v>335</v>
      </c>
      <c r="E111" s="651"/>
      <c r="F111" s="651"/>
      <c r="G111" s="651"/>
      <c r="H111" s="651"/>
      <c r="I111" s="651"/>
      <c r="J111" s="651"/>
      <c r="K111" s="651"/>
      <c r="L111" s="651"/>
      <c r="M111" s="651"/>
      <c r="N111" s="651"/>
      <c r="O111" s="651"/>
      <c r="P111" s="651"/>
      <c r="Q111" s="651"/>
      <c r="R111" s="656"/>
      <c r="S111" s="656"/>
      <c r="T111" s="656"/>
      <c r="U111" s="656"/>
      <c r="V111" s="656"/>
      <c r="W111" s="656"/>
      <c r="X111" s="656"/>
      <c r="Y111" s="656"/>
      <c r="Z111" s="647"/>
      <c r="AA111" s="647"/>
      <c r="AB111" s="647"/>
      <c r="AC111" s="647"/>
      <c r="AD111" s="647"/>
      <c r="AE111" s="647"/>
      <c r="AF111" s="647"/>
      <c r="AG111" s="647"/>
      <c r="AH111" s="647"/>
      <c r="AI111" s="647"/>
      <c r="AJ111" s="647"/>
      <c r="AK111" s="647"/>
      <c r="AL111" s="647"/>
      <c r="AM111" s="647"/>
      <c r="AN111" s="647"/>
      <c r="AO111" s="647"/>
      <c r="AP111" s="647"/>
      <c r="AQ111" s="647"/>
      <c r="AR111" s="647"/>
      <c r="AS111" s="647"/>
      <c r="AT111" s="647"/>
      <c r="AU111" s="647"/>
      <c r="AV111" s="647"/>
      <c r="AW111" s="647"/>
      <c r="AX111" s="647"/>
      <c r="AY111" s="647"/>
      <c r="AZ111" s="647"/>
      <c r="BA111" s="647"/>
      <c r="BB111" s="647"/>
      <c r="BC111" s="647"/>
      <c r="BD111" s="647"/>
      <c r="BE111" s="647"/>
    </row>
    <row r="112" spans="1:57">
      <c r="A112" s="650" t="s">
        <v>231</v>
      </c>
      <c r="B112" s="655"/>
      <c r="C112" s="651"/>
      <c r="D112" s="651"/>
      <c r="E112" s="651"/>
      <c r="F112" s="651"/>
      <c r="G112" s="651"/>
      <c r="H112" s="651"/>
      <c r="I112" s="651"/>
      <c r="J112" s="651"/>
      <c r="K112" s="651"/>
      <c r="L112" s="651"/>
      <c r="M112" s="651"/>
      <c r="N112" s="651"/>
      <c r="O112" s="651"/>
      <c r="P112" s="651"/>
      <c r="Q112" s="651"/>
      <c r="R112" s="656"/>
      <c r="S112" s="656"/>
      <c r="T112" s="656"/>
      <c r="U112" s="656"/>
      <c r="V112" s="656"/>
      <c r="W112" s="656"/>
      <c r="X112" s="656"/>
      <c r="Y112" s="656"/>
      <c r="Z112" s="647"/>
      <c r="AA112" s="647"/>
      <c r="AB112" s="647"/>
      <c r="AC112" s="647"/>
      <c r="AD112" s="647"/>
      <c r="AE112" s="647"/>
      <c r="AF112" s="647"/>
      <c r="AG112" s="647"/>
      <c r="AH112" s="647"/>
      <c r="AI112" s="647"/>
      <c r="AJ112" s="647"/>
      <c r="AK112" s="647"/>
      <c r="AL112" s="647"/>
      <c r="AM112" s="647"/>
      <c r="AN112" s="647"/>
      <c r="AO112" s="647"/>
      <c r="AP112" s="647"/>
      <c r="AQ112" s="647"/>
      <c r="AR112" s="647"/>
      <c r="AS112" s="647"/>
      <c r="AT112" s="647"/>
      <c r="AU112" s="647"/>
      <c r="AV112" s="647"/>
      <c r="AW112" s="647"/>
      <c r="AX112" s="647"/>
      <c r="AY112" s="647"/>
      <c r="AZ112" s="647"/>
      <c r="BA112" s="647"/>
      <c r="BB112" s="647"/>
      <c r="BC112" s="647"/>
      <c r="BD112" s="647"/>
      <c r="BE112" s="647"/>
    </row>
    <row r="113" spans="1:57">
      <c r="A113" s="651" t="s">
        <v>129</v>
      </c>
      <c r="B113" s="655">
        <f>(D180*'energieprijs en discontovoet'!B7+'energieprijs en discontovoet'!B8*'MTRG HUISHOUDENS'!F180+'energieprijs en discontovoet'!B6*'MTRG HUISHOUDENS'!B180)/SUM('MTRG HUISHOUDENS'!D180,'MTRG HUISHOUDENS'!F180,'MTRG HUISHOUDENS'!B180)</f>
        <v>8.4050446617145572E-2</v>
      </c>
      <c r="C113" s="651" t="s">
        <v>404</v>
      </c>
      <c r="D113" s="651" t="s">
        <v>335</v>
      </c>
      <c r="E113" s="651"/>
      <c r="F113" s="651"/>
      <c r="G113" s="651"/>
      <c r="H113" s="651"/>
      <c r="I113" s="651"/>
      <c r="J113" s="651"/>
      <c r="K113" s="651"/>
      <c r="L113" s="651"/>
      <c r="M113" s="651"/>
      <c r="N113" s="651"/>
      <c r="O113" s="651"/>
      <c r="P113" s="651"/>
      <c r="Q113" s="651"/>
      <c r="R113" s="656"/>
      <c r="S113" s="656"/>
      <c r="T113" s="656"/>
      <c r="U113" s="656"/>
      <c r="V113" s="656"/>
      <c r="W113" s="656"/>
      <c r="X113" s="656"/>
      <c r="Y113" s="656"/>
      <c r="Z113" s="647"/>
      <c r="AA113" s="647"/>
      <c r="AB113" s="647"/>
      <c r="AC113" s="647"/>
      <c r="AD113" s="647"/>
      <c r="AE113" s="647"/>
      <c r="AF113" s="647"/>
      <c r="AG113" s="647"/>
      <c r="AH113" s="647"/>
      <c r="AI113" s="647"/>
      <c r="AJ113" s="647"/>
      <c r="AK113" s="647"/>
      <c r="AL113" s="647"/>
      <c r="AM113" s="647"/>
      <c r="AN113" s="647"/>
      <c r="AO113" s="647"/>
      <c r="AP113" s="647"/>
      <c r="AQ113" s="647"/>
      <c r="AR113" s="647"/>
      <c r="AS113" s="647"/>
      <c r="AT113" s="647"/>
      <c r="AU113" s="647"/>
      <c r="AV113" s="647"/>
      <c r="AW113" s="647"/>
      <c r="AX113" s="647"/>
      <c r="AY113" s="647"/>
      <c r="AZ113" s="647"/>
      <c r="BA113" s="647"/>
      <c r="BB113" s="647"/>
      <c r="BC113" s="647"/>
      <c r="BD113" s="647"/>
      <c r="BE113" s="647"/>
    </row>
    <row r="114" spans="1:57">
      <c r="A114" s="651" t="s">
        <v>229</v>
      </c>
      <c r="B114" s="655">
        <f>'energieprijs en discontovoet'!B6</f>
        <v>0.16528925619834711</v>
      </c>
      <c r="C114" s="651" t="s">
        <v>404</v>
      </c>
      <c r="D114" s="651" t="s">
        <v>335</v>
      </c>
      <c r="E114" s="651"/>
      <c r="F114" s="651"/>
      <c r="G114" s="651"/>
      <c r="H114" s="651"/>
      <c r="I114" s="651"/>
      <c r="J114" s="651"/>
      <c r="K114" s="651"/>
      <c r="L114" s="651"/>
      <c r="M114" s="651"/>
      <c r="N114" s="651"/>
      <c r="O114" s="651"/>
      <c r="P114" s="651"/>
      <c r="Q114" s="651"/>
      <c r="R114" s="656"/>
      <c r="S114" s="656"/>
      <c r="T114" s="656"/>
      <c r="U114" s="656"/>
      <c r="V114" s="656"/>
      <c r="W114" s="656"/>
      <c r="X114" s="656"/>
      <c r="Y114" s="656"/>
      <c r="Z114" s="647"/>
      <c r="AA114" s="647"/>
      <c r="AB114" s="647"/>
      <c r="AC114" s="647"/>
      <c r="AD114" s="647"/>
      <c r="AE114" s="647"/>
      <c r="AF114" s="647"/>
      <c r="AG114" s="647"/>
      <c r="AH114" s="647"/>
      <c r="AI114" s="647"/>
      <c r="AJ114" s="647"/>
      <c r="AK114" s="647"/>
      <c r="AL114" s="647"/>
      <c r="AM114" s="647"/>
      <c r="AN114" s="647"/>
      <c r="AO114" s="647"/>
      <c r="AP114" s="647"/>
      <c r="AQ114" s="647"/>
      <c r="AR114" s="647"/>
      <c r="AS114" s="647"/>
      <c r="AT114" s="647"/>
      <c r="AU114" s="647"/>
      <c r="AV114" s="647"/>
      <c r="AW114" s="647"/>
      <c r="AX114" s="647"/>
      <c r="AY114" s="647"/>
      <c r="AZ114" s="647"/>
      <c r="BA114" s="647"/>
      <c r="BB114" s="647"/>
      <c r="BC114" s="647"/>
      <c r="BD114" s="647"/>
      <c r="BE114" s="647"/>
    </row>
    <row r="115" spans="1:57">
      <c r="B115" s="610"/>
      <c r="R115" s="647"/>
      <c r="S115" s="647"/>
      <c r="T115" s="647"/>
      <c r="U115" s="647"/>
      <c r="V115" s="647"/>
      <c r="W115" s="647"/>
      <c r="X115" s="647"/>
      <c r="Y115" s="647"/>
      <c r="Z115" s="647"/>
      <c r="AA115" s="647"/>
      <c r="AB115" s="647"/>
      <c r="AC115" s="647"/>
      <c r="AD115" s="647"/>
      <c r="AE115" s="647"/>
      <c r="AF115" s="647"/>
      <c r="AG115" s="647"/>
      <c r="AH115" s="647"/>
      <c r="AI115" s="647"/>
      <c r="AJ115" s="647"/>
      <c r="AK115" s="647"/>
      <c r="AL115" s="647"/>
      <c r="AM115" s="647"/>
      <c r="AN115" s="647"/>
      <c r="AO115" s="647"/>
      <c r="AP115" s="647"/>
      <c r="AQ115" s="647"/>
      <c r="AR115" s="647"/>
      <c r="AS115" s="647"/>
      <c r="AT115" s="647"/>
      <c r="AU115" s="647"/>
      <c r="AV115" s="647"/>
      <c r="AW115" s="647"/>
      <c r="AX115" s="647"/>
      <c r="AY115" s="647"/>
      <c r="AZ115" s="647"/>
      <c r="BA115" s="647"/>
      <c r="BB115" s="647"/>
      <c r="BC115" s="647"/>
      <c r="BD115" s="647"/>
      <c r="BE115" s="647"/>
    </row>
    <row r="116" spans="1:57" s="585" customFormat="1" ht="18.75">
      <c r="A116" s="584" t="s">
        <v>187</v>
      </c>
    </row>
    <row r="117" spans="1:57" s="585" customFormat="1" ht="18.75">
      <c r="A117" s="584"/>
    </row>
    <row r="118" spans="1:57" s="649" customFormat="1">
      <c r="A118" s="648" t="s">
        <v>713</v>
      </c>
      <c r="B118" s="648"/>
      <c r="C118" s="648"/>
      <c r="D118" s="648"/>
      <c r="E118" s="648"/>
      <c r="F118" s="648"/>
      <c r="G118" s="648"/>
      <c r="H118" s="648"/>
      <c r="I118" s="648"/>
      <c r="J118" s="648"/>
      <c r="K118" s="648"/>
      <c r="L118" s="648"/>
      <c r="M118" s="648"/>
      <c r="N118" s="648"/>
      <c r="O118" s="648"/>
      <c r="P118" s="648"/>
      <c r="Q118" s="648"/>
    </row>
    <row r="119" spans="1:57">
      <c r="A119" s="651" t="s">
        <v>95</v>
      </c>
      <c r="B119" s="658"/>
      <c r="C119" s="651"/>
      <c r="D119" s="651" t="s">
        <v>102</v>
      </c>
      <c r="E119" s="651"/>
      <c r="F119" s="651"/>
      <c r="G119" s="651"/>
      <c r="H119" s="651"/>
      <c r="I119" s="651"/>
      <c r="J119" s="651"/>
      <c r="K119" s="651"/>
      <c r="L119" s="651"/>
      <c r="M119" s="651"/>
      <c r="N119" s="651"/>
      <c r="O119" s="651"/>
      <c r="P119" s="651"/>
      <c r="Q119" s="651"/>
      <c r="R119" s="656"/>
      <c r="S119" s="656"/>
      <c r="T119" s="656"/>
      <c r="U119" s="656"/>
      <c r="V119" s="656"/>
      <c r="W119" s="656"/>
      <c r="X119" s="656"/>
      <c r="Y119" s="656"/>
      <c r="Z119" s="647"/>
      <c r="AA119" s="647"/>
      <c r="AB119" s="647"/>
      <c r="AC119" s="647"/>
      <c r="AD119" s="647"/>
      <c r="AE119" s="647"/>
      <c r="AF119" s="647"/>
      <c r="AG119" s="647"/>
      <c r="AH119" s="647"/>
      <c r="AI119" s="647"/>
      <c r="AJ119" s="647"/>
      <c r="AK119" s="647"/>
      <c r="AL119" s="647"/>
      <c r="AM119" s="647"/>
      <c r="AN119" s="647"/>
      <c r="AO119" s="647"/>
      <c r="AP119" s="647"/>
      <c r="AQ119" s="647"/>
      <c r="AR119" s="647"/>
      <c r="AS119" s="647"/>
      <c r="AT119" s="647"/>
      <c r="AU119" s="647"/>
      <c r="AV119" s="647"/>
      <c r="AW119" s="647"/>
      <c r="AX119" s="647"/>
      <c r="AY119" s="647"/>
      <c r="AZ119" s="647"/>
      <c r="BA119" s="647"/>
      <c r="BB119" s="647"/>
      <c r="BC119" s="647"/>
      <c r="BD119" s="647"/>
      <c r="BE119" s="647"/>
    </row>
    <row r="120" spans="1:57">
      <c r="A120" s="651" t="s">
        <v>111</v>
      </c>
      <c r="B120" s="659">
        <v>0.8</v>
      </c>
      <c r="C120" s="651"/>
      <c r="D120" s="660" t="s">
        <v>385</v>
      </c>
      <c r="E120" s="661"/>
      <c r="F120" s="651"/>
      <c r="G120" s="651"/>
      <c r="H120" s="651"/>
      <c r="I120" s="651"/>
      <c r="J120" s="651"/>
      <c r="K120" s="651"/>
      <c r="L120" s="651"/>
      <c r="M120" s="651"/>
      <c r="N120" s="651"/>
      <c r="O120" s="651"/>
      <c r="P120" s="651"/>
      <c r="Q120" s="651"/>
      <c r="R120" s="656"/>
      <c r="S120" s="656"/>
      <c r="T120" s="656"/>
      <c r="U120" s="656"/>
      <c r="V120" s="656"/>
      <c r="W120" s="656"/>
      <c r="X120" s="656"/>
      <c r="Y120" s="656"/>
      <c r="Z120" s="647"/>
      <c r="AA120" s="647"/>
      <c r="AB120" s="647"/>
      <c r="AC120" s="647"/>
      <c r="AD120" s="647"/>
      <c r="AE120" s="647"/>
      <c r="AF120" s="647"/>
      <c r="AG120" s="647"/>
      <c r="AH120" s="647"/>
      <c r="AI120" s="647"/>
      <c r="AJ120" s="647"/>
      <c r="AK120" s="647"/>
      <c r="AL120" s="647"/>
      <c r="AM120" s="647"/>
      <c r="AN120" s="647"/>
      <c r="AO120" s="647"/>
      <c r="AP120" s="647"/>
      <c r="AQ120" s="647"/>
      <c r="AR120" s="647"/>
      <c r="AS120" s="647"/>
      <c r="AT120" s="647"/>
      <c r="AU120" s="647"/>
      <c r="AV120" s="647"/>
      <c r="AW120" s="647"/>
      <c r="AX120" s="647"/>
      <c r="AY120" s="647"/>
      <c r="AZ120" s="647"/>
      <c r="BA120" s="647"/>
      <c r="BB120" s="647"/>
      <c r="BC120" s="647"/>
      <c r="BD120" s="647"/>
      <c r="BE120" s="647"/>
    </row>
    <row r="121" spans="1:57">
      <c r="A121" s="651" t="s">
        <v>112</v>
      </c>
      <c r="B121" s="659">
        <f>1-B120</f>
        <v>0.19999999999999996</v>
      </c>
      <c r="C121" s="651"/>
      <c r="D121" s="660" t="s">
        <v>385</v>
      </c>
      <c r="E121" s="661"/>
      <c r="F121" s="651"/>
      <c r="G121" s="651"/>
      <c r="H121" s="651"/>
      <c r="I121" s="651"/>
      <c r="J121" s="651"/>
      <c r="K121" s="651"/>
      <c r="L121" s="651"/>
      <c r="M121" s="651"/>
      <c r="N121" s="651"/>
      <c r="O121" s="651"/>
      <c r="P121" s="651"/>
      <c r="Q121" s="651"/>
      <c r="R121" s="656"/>
      <c r="S121" s="656"/>
      <c r="T121" s="656"/>
      <c r="U121" s="656"/>
      <c r="V121" s="656"/>
      <c r="W121" s="656"/>
      <c r="X121" s="656"/>
      <c r="Y121" s="656"/>
      <c r="Z121" s="647"/>
      <c r="AA121" s="647"/>
      <c r="AB121" s="647"/>
      <c r="AC121" s="647"/>
      <c r="AD121" s="647"/>
      <c r="AE121" s="647"/>
      <c r="AF121" s="647"/>
      <c r="AG121" s="647"/>
      <c r="AH121" s="647"/>
      <c r="AI121" s="647"/>
      <c r="AJ121" s="647"/>
      <c r="AK121" s="647"/>
      <c r="AL121" s="647"/>
      <c r="AM121" s="647"/>
      <c r="AN121" s="647"/>
      <c r="AO121" s="647"/>
      <c r="AP121" s="647"/>
      <c r="AQ121" s="647"/>
      <c r="AR121" s="647"/>
      <c r="AS121" s="647"/>
      <c r="AT121" s="647"/>
      <c r="AU121" s="647"/>
      <c r="AV121" s="647"/>
      <c r="AW121" s="647"/>
      <c r="AX121" s="647"/>
      <c r="AY121" s="647"/>
      <c r="AZ121" s="647"/>
      <c r="BA121" s="647"/>
      <c r="BB121" s="647"/>
      <c r="BC121" s="647"/>
      <c r="BD121" s="647"/>
      <c r="BE121" s="647"/>
    </row>
    <row r="122" spans="1:57">
      <c r="R122" s="647"/>
      <c r="S122" s="647"/>
      <c r="T122" s="647"/>
      <c r="U122" s="647"/>
      <c r="V122" s="647"/>
      <c r="W122" s="647"/>
      <c r="X122" s="647"/>
      <c r="Y122" s="647"/>
      <c r="Z122" s="647"/>
      <c r="AA122" s="647"/>
      <c r="AB122" s="647"/>
      <c r="AC122" s="647"/>
      <c r="AD122" s="647"/>
      <c r="AE122" s="647"/>
      <c r="AF122" s="647"/>
      <c r="AG122" s="647"/>
      <c r="AH122" s="647"/>
      <c r="AI122" s="647"/>
      <c r="AJ122" s="647"/>
      <c r="AK122" s="647"/>
      <c r="AL122" s="647"/>
      <c r="AM122" s="647"/>
      <c r="AN122" s="647"/>
      <c r="AO122" s="647"/>
      <c r="AP122" s="647"/>
      <c r="AQ122" s="647"/>
      <c r="AR122" s="647"/>
      <c r="AS122" s="647"/>
      <c r="AT122" s="647"/>
      <c r="AU122" s="647"/>
      <c r="AV122" s="647"/>
      <c r="AW122" s="647"/>
      <c r="AX122" s="647"/>
      <c r="AY122" s="647"/>
      <c r="AZ122" s="647"/>
      <c r="BA122" s="647"/>
      <c r="BB122" s="647"/>
      <c r="BC122" s="647"/>
      <c r="BD122" s="647"/>
      <c r="BE122" s="647"/>
    </row>
    <row r="123" spans="1:57">
      <c r="A123" s="774" t="s">
        <v>48</v>
      </c>
      <c r="B123" s="775" t="s">
        <v>73</v>
      </c>
      <c r="C123" s="775"/>
      <c r="D123" s="775"/>
      <c r="E123" s="775"/>
      <c r="F123" s="775"/>
      <c r="G123" s="775"/>
      <c r="H123" s="775"/>
      <c r="I123" s="775"/>
      <c r="J123" s="775"/>
      <c r="K123" s="775"/>
      <c r="L123" s="775"/>
      <c r="M123" s="775"/>
      <c r="N123" s="775"/>
      <c r="O123" s="775"/>
      <c r="P123" s="775"/>
      <c r="Q123" s="775"/>
      <c r="R123" s="647"/>
      <c r="S123" s="647"/>
      <c r="T123" s="647"/>
      <c r="U123" s="647"/>
      <c r="V123" s="647"/>
      <c r="W123" s="647"/>
      <c r="X123" s="647"/>
      <c r="Y123" s="647"/>
      <c r="Z123" s="647"/>
      <c r="AA123" s="647"/>
      <c r="AB123" s="647"/>
      <c r="AC123" s="647"/>
      <c r="AD123" s="647"/>
      <c r="AE123" s="647"/>
      <c r="AF123" s="647"/>
      <c r="AG123" s="647"/>
      <c r="AH123" s="647"/>
      <c r="AI123" s="647"/>
      <c r="AJ123" s="647"/>
      <c r="AK123" s="647"/>
      <c r="AL123" s="647"/>
      <c r="AM123" s="647"/>
      <c r="AN123" s="647"/>
      <c r="AO123" s="647"/>
      <c r="AP123" s="647"/>
      <c r="AQ123" s="647"/>
      <c r="AR123" s="647"/>
      <c r="AS123" s="647"/>
      <c r="AT123" s="647"/>
      <c r="AU123" s="647"/>
      <c r="AV123" s="647"/>
      <c r="AW123" s="647"/>
      <c r="AX123" s="647"/>
      <c r="AY123" s="647"/>
      <c r="AZ123" s="647"/>
      <c r="BA123" s="647"/>
      <c r="BB123" s="647"/>
      <c r="BC123" s="647"/>
      <c r="BD123" s="647"/>
      <c r="BE123" s="647"/>
    </row>
    <row r="124" spans="1:57" ht="16.5" customHeight="1">
      <c r="A124" s="774"/>
      <c r="B124" s="776" t="s">
        <v>2</v>
      </c>
      <c r="C124" s="776" t="s">
        <v>31</v>
      </c>
      <c r="D124" s="776" t="s">
        <v>32</v>
      </c>
      <c r="E124" s="776"/>
      <c r="F124" s="776"/>
      <c r="G124" s="776"/>
      <c r="H124" s="776"/>
      <c r="I124" s="776"/>
      <c r="J124" s="776"/>
      <c r="K124" s="776"/>
      <c r="L124" s="776" t="s">
        <v>33</v>
      </c>
      <c r="M124" s="776"/>
      <c r="N124" s="776"/>
      <c r="O124" s="776"/>
      <c r="P124" s="776"/>
      <c r="Q124" s="776" t="s">
        <v>27</v>
      </c>
      <c r="R124" s="647"/>
      <c r="S124" s="647"/>
      <c r="T124" s="647"/>
      <c r="U124" s="647"/>
      <c r="V124" s="647"/>
      <c r="W124" s="647"/>
      <c r="X124" s="647"/>
      <c r="Y124" s="647"/>
      <c r="Z124" s="647"/>
      <c r="AA124" s="647"/>
      <c r="AB124" s="647"/>
      <c r="AC124" s="647"/>
      <c r="AD124" s="647"/>
      <c r="AE124" s="647"/>
      <c r="AF124" s="647"/>
      <c r="AG124" s="647"/>
      <c r="AH124" s="647"/>
      <c r="AI124" s="647"/>
      <c r="AJ124" s="647"/>
      <c r="AK124" s="647"/>
      <c r="AL124" s="647"/>
      <c r="AM124" s="647"/>
      <c r="AN124" s="647"/>
      <c r="AO124" s="647"/>
      <c r="AP124" s="647"/>
      <c r="AQ124" s="647"/>
      <c r="AR124" s="647"/>
      <c r="AS124" s="647"/>
      <c r="AT124" s="647"/>
      <c r="AU124" s="647"/>
      <c r="AV124" s="647"/>
      <c r="AW124" s="647"/>
      <c r="AX124" s="647"/>
      <c r="AY124" s="647"/>
      <c r="AZ124" s="647"/>
      <c r="BA124" s="647"/>
      <c r="BB124" s="647"/>
      <c r="BC124" s="647"/>
      <c r="BD124" s="647"/>
      <c r="BE124" s="647"/>
    </row>
    <row r="125" spans="1:57" ht="45">
      <c r="A125" s="774"/>
      <c r="B125" s="776"/>
      <c r="C125" s="776"/>
      <c r="D125" s="662" t="s">
        <v>34</v>
      </c>
      <c r="E125" s="662" t="s">
        <v>35</v>
      </c>
      <c r="F125" s="662" t="s">
        <v>36</v>
      </c>
      <c r="G125" s="662" t="s">
        <v>37</v>
      </c>
      <c r="H125" s="662" t="s">
        <v>29</v>
      </c>
      <c r="I125" s="662" t="s">
        <v>38</v>
      </c>
      <c r="J125" s="662" t="s">
        <v>39</v>
      </c>
      <c r="K125" s="662" t="s">
        <v>40</v>
      </c>
      <c r="L125" s="662" t="s">
        <v>41</v>
      </c>
      <c r="M125" s="662" t="s">
        <v>42</v>
      </c>
      <c r="N125" s="662" t="s">
        <v>43</v>
      </c>
      <c r="O125" s="662" t="s">
        <v>44</v>
      </c>
      <c r="P125" s="662" t="s">
        <v>45</v>
      </c>
      <c r="Q125" s="776"/>
      <c r="R125" s="647"/>
      <c r="S125" s="647"/>
      <c r="T125" s="647"/>
      <c r="U125" s="647"/>
      <c r="V125" s="647"/>
      <c r="W125" s="647"/>
      <c r="X125" s="647"/>
      <c r="Y125" s="647"/>
      <c r="Z125" s="647"/>
      <c r="AA125" s="647"/>
      <c r="AB125" s="647"/>
      <c r="AC125" s="647"/>
      <c r="AD125" s="647"/>
      <c r="AE125" s="647"/>
      <c r="AF125" s="647"/>
      <c r="AG125" s="647"/>
      <c r="AH125" s="647"/>
      <c r="AI125" s="647"/>
      <c r="AJ125" s="647"/>
      <c r="AK125" s="647"/>
      <c r="AL125" s="647"/>
      <c r="AM125" s="647"/>
      <c r="AN125" s="647"/>
      <c r="AO125" s="647"/>
      <c r="AP125" s="647"/>
      <c r="AQ125" s="647"/>
      <c r="AR125" s="647"/>
      <c r="AS125" s="647"/>
      <c r="AT125" s="647"/>
      <c r="AU125" s="647"/>
      <c r="AV125" s="647"/>
      <c r="AW125" s="647"/>
      <c r="AX125" s="647"/>
      <c r="AY125" s="647"/>
      <c r="AZ125" s="647"/>
      <c r="BA125" s="647"/>
      <c r="BB125" s="647"/>
      <c r="BC125" s="647"/>
      <c r="BD125" s="647"/>
      <c r="BE125" s="647"/>
    </row>
    <row r="126" spans="1:57">
      <c r="A126" s="663" t="s">
        <v>49</v>
      </c>
      <c r="B126" s="664">
        <f>'Nulmeting 2011'!B4</f>
        <v>37450.698305203099</v>
      </c>
      <c r="C126" s="664">
        <f>'Nulmeting 2011'!C4</f>
        <v>0</v>
      </c>
      <c r="D126" s="664">
        <f>'Nulmeting 2011'!D4</f>
        <v>126041.54106442082</v>
      </c>
      <c r="E126" s="664">
        <f>'Nulmeting 2011'!E4</f>
        <v>710.59664248632873</v>
      </c>
      <c r="F126" s="664">
        <f>'Nulmeting 2011'!F4</f>
        <v>12965.277392357542</v>
      </c>
      <c r="G126" s="664">
        <f>'Nulmeting 2011'!G4</f>
        <v>0</v>
      </c>
      <c r="H126" s="664">
        <f>'Nulmeting 2011'!H4</f>
        <v>0</v>
      </c>
      <c r="I126" s="664">
        <f>'Nulmeting 2011'!I4</f>
        <v>0</v>
      </c>
      <c r="J126" s="664">
        <f>'Nulmeting 2011'!J4</f>
        <v>0</v>
      </c>
      <c r="K126" s="664">
        <f>'Nulmeting 2011'!K4</f>
        <v>0</v>
      </c>
      <c r="L126" s="664">
        <f>'Nulmeting 2011'!L4</f>
        <v>0</v>
      </c>
      <c r="M126" s="664">
        <f>'Nulmeting 2011'!M4</f>
        <v>0</v>
      </c>
      <c r="N126" s="664">
        <f>'Nulmeting 2011'!N4</f>
        <v>4240.4994311859937</v>
      </c>
      <c r="O126" s="664">
        <f>'Nulmeting 2011'!O4</f>
        <v>85.983333333333334</v>
      </c>
      <c r="P126" s="664">
        <f>'Nulmeting 2011'!P4</f>
        <v>0</v>
      </c>
      <c r="Q126" s="664">
        <f>SUM(B126:P126)</f>
        <v>181494.5961689871</v>
      </c>
      <c r="R126" s="647"/>
      <c r="S126" s="647"/>
      <c r="T126" s="647"/>
      <c r="U126" s="647"/>
      <c r="V126" s="647"/>
      <c r="W126" s="647"/>
      <c r="X126" s="647"/>
      <c r="Y126" s="647"/>
      <c r="Z126" s="647"/>
      <c r="AA126" s="647"/>
      <c r="AB126" s="647"/>
      <c r="AC126" s="647"/>
      <c r="AD126" s="647"/>
      <c r="AE126" s="647"/>
      <c r="AF126" s="647"/>
      <c r="AG126" s="647"/>
      <c r="AH126" s="647"/>
      <c r="AI126" s="647"/>
      <c r="AJ126" s="647"/>
      <c r="AK126" s="647"/>
      <c r="AL126" s="647"/>
      <c r="AM126" s="647"/>
      <c r="AN126" s="647"/>
      <c r="AO126" s="647"/>
      <c r="AP126" s="647"/>
      <c r="AQ126" s="647"/>
      <c r="AR126" s="647"/>
      <c r="AS126" s="647"/>
      <c r="AT126" s="647"/>
      <c r="AU126" s="647"/>
      <c r="AV126" s="647"/>
      <c r="AW126" s="647"/>
      <c r="AX126" s="647"/>
      <c r="AY126" s="647"/>
      <c r="AZ126" s="647"/>
      <c r="BA126" s="647"/>
      <c r="BB126" s="647"/>
      <c r="BC126" s="647"/>
      <c r="BD126" s="647"/>
      <c r="BE126" s="647"/>
    </row>
    <row r="127" spans="1:57" s="617" customFormat="1">
      <c r="R127" s="596"/>
      <c r="S127" s="596"/>
      <c r="T127" s="596"/>
      <c r="U127" s="596"/>
      <c r="V127" s="596"/>
      <c r="W127" s="596"/>
      <c r="X127" s="596"/>
      <c r="Y127" s="596"/>
      <c r="Z127" s="596"/>
      <c r="AA127" s="596"/>
      <c r="AB127" s="596"/>
      <c r="AC127" s="596"/>
      <c r="AD127" s="596"/>
      <c r="AE127" s="596"/>
      <c r="AF127" s="596"/>
      <c r="AG127" s="596"/>
      <c r="AH127" s="596"/>
      <c r="AI127" s="596"/>
      <c r="AJ127" s="596"/>
      <c r="AK127" s="596"/>
      <c r="AL127" s="596"/>
      <c r="AM127" s="596"/>
      <c r="AN127" s="596"/>
      <c r="AO127" s="596"/>
      <c r="AP127" s="596"/>
      <c r="AQ127" s="596"/>
      <c r="AR127" s="596"/>
      <c r="AS127" s="596"/>
      <c r="AT127" s="596"/>
      <c r="AU127" s="596"/>
      <c r="AV127" s="596"/>
      <c r="AW127" s="596"/>
      <c r="AX127" s="596"/>
      <c r="AY127" s="596"/>
      <c r="AZ127" s="596"/>
      <c r="BA127" s="596"/>
      <c r="BB127" s="596"/>
      <c r="BC127" s="596"/>
      <c r="BD127" s="596"/>
      <c r="BE127" s="596"/>
    </row>
    <row r="128" spans="1:57">
      <c r="A128" s="663" t="s">
        <v>92</v>
      </c>
      <c r="B128" s="665">
        <f>B120*B126</f>
        <v>29960.55864416248</v>
      </c>
      <c r="C128" s="663"/>
      <c r="D128" s="663">
        <f>D126</f>
        <v>126041.54106442082</v>
      </c>
      <c r="E128" s="663">
        <f t="shared" ref="E128:P128" si="0">E126</f>
        <v>710.59664248632873</v>
      </c>
      <c r="F128" s="663">
        <f t="shared" si="0"/>
        <v>12965.277392357542</v>
      </c>
      <c r="G128" s="663">
        <f t="shared" si="0"/>
        <v>0</v>
      </c>
      <c r="H128" s="663">
        <f t="shared" si="0"/>
        <v>0</v>
      </c>
      <c r="I128" s="663">
        <f t="shared" si="0"/>
        <v>0</v>
      </c>
      <c r="J128" s="663">
        <f t="shared" si="0"/>
        <v>0</v>
      </c>
      <c r="K128" s="663">
        <f t="shared" si="0"/>
        <v>0</v>
      </c>
      <c r="L128" s="663">
        <f t="shared" si="0"/>
        <v>0</v>
      </c>
      <c r="M128" s="663">
        <f t="shared" si="0"/>
        <v>0</v>
      </c>
      <c r="N128" s="663">
        <f t="shared" si="0"/>
        <v>4240.4994311859937</v>
      </c>
      <c r="O128" s="663">
        <f t="shared" si="0"/>
        <v>85.983333333333334</v>
      </c>
      <c r="P128" s="663">
        <f t="shared" si="0"/>
        <v>0</v>
      </c>
      <c r="Q128" s="663">
        <f>SUM(B128:P128)</f>
        <v>174004.45650794648</v>
      </c>
      <c r="R128" s="647"/>
      <c r="S128" s="666"/>
      <c r="T128" s="647"/>
      <c r="U128" s="647"/>
      <c r="V128" s="647"/>
      <c r="W128" s="647"/>
      <c r="X128" s="647"/>
      <c r="Y128" s="647"/>
      <c r="Z128" s="647"/>
      <c r="AA128" s="647"/>
      <c r="AB128" s="647"/>
      <c r="AC128" s="647"/>
      <c r="AD128" s="647"/>
      <c r="AE128" s="647"/>
      <c r="AF128" s="647"/>
      <c r="AG128" s="647"/>
      <c r="AH128" s="647"/>
      <c r="AI128" s="647"/>
      <c r="AJ128" s="647"/>
      <c r="AK128" s="647"/>
      <c r="AL128" s="647"/>
      <c r="AM128" s="647"/>
      <c r="AN128" s="647"/>
      <c r="AO128" s="647"/>
      <c r="AP128" s="647"/>
      <c r="AQ128" s="647"/>
      <c r="AR128" s="647"/>
      <c r="AS128" s="647"/>
      <c r="AT128" s="647"/>
      <c r="AU128" s="647"/>
      <c r="AV128" s="647"/>
      <c r="AW128" s="647"/>
      <c r="AX128" s="647"/>
      <c r="AY128" s="647"/>
      <c r="AZ128" s="647"/>
      <c r="BA128" s="647"/>
      <c r="BB128" s="647"/>
      <c r="BC128" s="647"/>
      <c r="BD128" s="647"/>
      <c r="BE128" s="647"/>
    </row>
    <row r="129" spans="1:57">
      <c r="A129" s="667" t="s">
        <v>94</v>
      </c>
      <c r="B129" s="668">
        <f t="shared" ref="B129:Q129" si="1">B128/$Q128</f>
        <v>0.17218270868133906</v>
      </c>
      <c r="C129" s="668">
        <f t="shared" si="1"/>
        <v>0</v>
      </c>
      <c r="D129" s="668">
        <f t="shared" si="1"/>
        <v>0.72435812044081016</v>
      </c>
      <c r="E129" s="668">
        <f t="shared" si="1"/>
        <v>4.0837841555734925E-3</v>
      </c>
      <c r="F129" s="668">
        <f t="shared" si="1"/>
        <v>7.4511180072939345E-2</v>
      </c>
      <c r="G129" s="668">
        <f t="shared" si="1"/>
        <v>0</v>
      </c>
      <c r="H129" s="668">
        <f t="shared" si="1"/>
        <v>0</v>
      </c>
      <c r="I129" s="668">
        <f t="shared" si="1"/>
        <v>0</v>
      </c>
      <c r="J129" s="668">
        <f t="shared" si="1"/>
        <v>0</v>
      </c>
      <c r="K129" s="668">
        <f t="shared" si="1"/>
        <v>0</v>
      </c>
      <c r="L129" s="668">
        <f t="shared" si="1"/>
        <v>0</v>
      </c>
      <c r="M129" s="668">
        <f t="shared" si="1"/>
        <v>0</v>
      </c>
      <c r="N129" s="668">
        <f t="shared" si="1"/>
        <v>2.4370062217299229E-2</v>
      </c>
      <c r="O129" s="668">
        <f t="shared" si="1"/>
        <v>4.9414443203876573E-4</v>
      </c>
      <c r="P129" s="668">
        <f t="shared" si="1"/>
        <v>0</v>
      </c>
      <c r="Q129" s="668">
        <f t="shared" si="1"/>
        <v>1</v>
      </c>
      <c r="R129" s="647"/>
      <c r="S129" s="666"/>
      <c r="T129" s="647"/>
      <c r="U129" s="647"/>
      <c r="V129" s="647"/>
      <c r="W129" s="647"/>
      <c r="X129" s="647"/>
      <c r="Y129" s="647"/>
      <c r="Z129" s="647"/>
      <c r="AA129" s="647"/>
      <c r="AB129" s="647"/>
      <c r="AC129" s="647"/>
      <c r="AD129" s="647"/>
      <c r="AE129" s="647"/>
      <c r="AF129" s="647"/>
      <c r="AG129" s="647"/>
      <c r="AH129" s="647"/>
      <c r="AI129" s="647"/>
      <c r="AJ129" s="647"/>
      <c r="AK129" s="647"/>
      <c r="AL129" s="647"/>
      <c r="AM129" s="647"/>
      <c r="AN129" s="647"/>
      <c r="AO129" s="647"/>
      <c r="AP129" s="647"/>
      <c r="AQ129" s="647"/>
      <c r="AR129" s="647"/>
      <c r="AS129" s="647"/>
      <c r="AT129" s="647"/>
      <c r="AU129" s="647"/>
      <c r="AV129" s="647"/>
      <c r="AW129" s="647"/>
      <c r="AX129" s="647"/>
      <c r="AY129" s="647"/>
      <c r="AZ129" s="647"/>
      <c r="BA129" s="647"/>
      <c r="BB129" s="647"/>
      <c r="BC129" s="647"/>
      <c r="BD129" s="647"/>
      <c r="BE129" s="647"/>
    </row>
    <row r="130" spans="1:57">
      <c r="A130" s="663" t="s">
        <v>93</v>
      </c>
      <c r="B130" s="665">
        <f>B121*B126</f>
        <v>7490.1396610406182</v>
      </c>
      <c r="C130" s="663"/>
      <c r="D130" s="663"/>
      <c r="E130" s="663"/>
      <c r="F130" s="663"/>
      <c r="G130" s="663"/>
      <c r="H130" s="663"/>
      <c r="I130" s="663"/>
      <c r="J130" s="663"/>
      <c r="K130" s="663"/>
      <c r="L130" s="663"/>
      <c r="M130" s="663"/>
      <c r="N130" s="663"/>
      <c r="O130" s="663"/>
      <c r="P130" s="663"/>
      <c r="Q130" s="663">
        <f>SUM(B130:P130)</f>
        <v>7490.1396610406182</v>
      </c>
      <c r="R130" s="647"/>
      <c r="S130" s="666"/>
      <c r="T130" s="647"/>
      <c r="U130" s="647"/>
      <c r="V130" s="647"/>
      <c r="W130" s="647"/>
      <c r="X130" s="647"/>
      <c r="Y130" s="647"/>
      <c r="Z130" s="647"/>
      <c r="AA130" s="647"/>
      <c r="AB130" s="647"/>
      <c r="AC130" s="647"/>
      <c r="AD130" s="647"/>
      <c r="AE130" s="647"/>
      <c r="AF130" s="647"/>
      <c r="AG130" s="647"/>
      <c r="AH130" s="647"/>
      <c r="AI130" s="647"/>
      <c r="AJ130" s="647"/>
      <c r="AK130" s="647"/>
      <c r="AL130" s="647"/>
      <c r="AM130" s="647"/>
      <c r="AN130" s="647"/>
      <c r="AO130" s="647"/>
      <c r="AP130" s="647"/>
      <c r="AQ130" s="647"/>
      <c r="AR130" s="647"/>
      <c r="AS130" s="647"/>
      <c r="AT130" s="647"/>
      <c r="AU130" s="647"/>
      <c r="AV130" s="647"/>
      <c r="AW130" s="647"/>
      <c r="AX130" s="647"/>
      <c r="AY130" s="647"/>
      <c r="AZ130" s="647"/>
      <c r="BA130" s="647"/>
      <c r="BB130" s="647"/>
      <c r="BC130" s="647"/>
      <c r="BD130" s="647"/>
      <c r="BE130" s="647"/>
    </row>
    <row r="131" spans="1:57">
      <c r="A131" s="669"/>
      <c r="B131" s="669"/>
      <c r="C131" s="669"/>
      <c r="D131" s="669"/>
      <c r="E131" s="669"/>
      <c r="F131" s="669"/>
      <c r="G131" s="669"/>
      <c r="H131" s="669"/>
      <c r="I131" s="669"/>
      <c r="J131" s="669"/>
      <c r="K131" s="669"/>
      <c r="L131" s="669"/>
      <c r="M131" s="669"/>
      <c r="N131" s="669"/>
      <c r="O131" s="669"/>
      <c r="P131" s="669"/>
      <c r="Q131" s="669"/>
      <c r="R131" s="647"/>
      <c r="S131" s="647"/>
      <c r="T131" s="647"/>
      <c r="U131" s="647"/>
      <c r="V131" s="647"/>
      <c r="W131" s="647"/>
      <c r="X131" s="647"/>
      <c r="Y131" s="647"/>
      <c r="Z131" s="647"/>
      <c r="AA131" s="647"/>
      <c r="AB131" s="647"/>
      <c r="AC131" s="647"/>
      <c r="AD131" s="647"/>
      <c r="AE131" s="647"/>
      <c r="AF131" s="647"/>
      <c r="AG131" s="647"/>
      <c r="AH131" s="647"/>
      <c r="AI131" s="647"/>
      <c r="AJ131" s="647"/>
      <c r="AK131" s="647"/>
      <c r="AL131" s="647"/>
      <c r="AM131" s="647"/>
      <c r="AN131" s="647"/>
      <c r="AO131" s="647"/>
      <c r="AP131" s="647"/>
      <c r="AQ131" s="647"/>
      <c r="AR131" s="647"/>
      <c r="AS131" s="647"/>
      <c r="AT131" s="647"/>
      <c r="AU131" s="647"/>
      <c r="AV131" s="647"/>
      <c r="AW131" s="647"/>
      <c r="AX131" s="647"/>
      <c r="AY131" s="647"/>
      <c r="AZ131" s="647"/>
      <c r="BA131" s="647"/>
      <c r="BB131" s="647"/>
      <c r="BC131" s="647"/>
      <c r="BD131" s="647"/>
      <c r="BE131" s="647"/>
    </row>
    <row r="132" spans="1:57">
      <c r="R132" s="647"/>
      <c r="S132" s="647"/>
      <c r="T132" s="647"/>
      <c r="U132" s="647"/>
      <c r="V132" s="647"/>
      <c r="W132" s="647"/>
      <c r="X132" s="647"/>
      <c r="Y132" s="647"/>
      <c r="Z132" s="647"/>
      <c r="AA132" s="647"/>
      <c r="AB132" s="647"/>
      <c r="AC132" s="647"/>
      <c r="AD132" s="647"/>
      <c r="AE132" s="647"/>
      <c r="AF132" s="647"/>
      <c r="AG132" s="647"/>
      <c r="AH132" s="647"/>
      <c r="AI132" s="647"/>
      <c r="AJ132" s="647"/>
      <c r="AK132" s="647"/>
      <c r="AL132" s="647"/>
      <c r="AM132" s="647"/>
      <c r="AN132" s="647"/>
      <c r="AO132" s="647"/>
      <c r="AP132" s="647"/>
      <c r="AQ132" s="647"/>
      <c r="AR132" s="647"/>
      <c r="AS132" s="647"/>
      <c r="AT132" s="647"/>
      <c r="AU132" s="647"/>
      <c r="AV132" s="647"/>
      <c r="AW132" s="647"/>
      <c r="AX132" s="647"/>
      <c r="AY132" s="647"/>
      <c r="AZ132" s="647"/>
      <c r="BA132" s="647"/>
      <c r="BB132" s="647"/>
      <c r="BC132" s="647"/>
      <c r="BD132" s="647"/>
      <c r="BE132" s="647"/>
    </row>
    <row r="133" spans="1:57" s="649" customFormat="1">
      <c r="A133" s="648" t="s">
        <v>686</v>
      </c>
      <c r="B133" s="648"/>
      <c r="C133" s="648"/>
      <c r="D133" s="648"/>
      <c r="E133" s="648"/>
      <c r="F133" s="648"/>
      <c r="G133" s="648"/>
      <c r="H133" s="648"/>
      <c r="I133" s="648"/>
      <c r="J133" s="648"/>
      <c r="K133" s="648"/>
      <c r="L133" s="648"/>
      <c r="M133" s="648"/>
      <c r="N133" s="648"/>
      <c r="O133" s="648"/>
      <c r="P133" s="648"/>
      <c r="Q133" s="648"/>
    </row>
    <row r="134" spans="1:57">
      <c r="A134" s="651" t="s">
        <v>95</v>
      </c>
      <c r="B134" s="651"/>
      <c r="C134" s="651"/>
      <c r="D134" s="651" t="s">
        <v>102</v>
      </c>
      <c r="E134" s="651"/>
      <c r="F134" s="651"/>
      <c r="G134" s="651"/>
      <c r="H134" s="651"/>
      <c r="I134" s="651"/>
      <c r="J134" s="651"/>
      <c r="K134" s="651"/>
      <c r="L134" s="651"/>
      <c r="M134" s="651"/>
      <c r="N134" s="651"/>
      <c r="O134" s="651"/>
      <c r="P134" s="651"/>
      <c r="Q134" s="651"/>
      <c r="R134" s="656"/>
      <c r="S134" s="656"/>
      <c r="T134" s="656"/>
      <c r="U134" s="656"/>
      <c r="V134" s="656"/>
      <c r="W134" s="656"/>
      <c r="X134" s="656"/>
      <c r="Y134" s="656"/>
      <c r="Z134" s="647"/>
      <c r="AA134" s="647"/>
      <c r="AB134" s="647"/>
      <c r="AC134" s="647"/>
      <c r="AD134" s="647"/>
      <c r="AE134" s="647"/>
      <c r="AF134" s="647"/>
      <c r="AG134" s="647"/>
      <c r="AH134" s="647"/>
      <c r="AI134" s="647"/>
      <c r="AJ134" s="647"/>
      <c r="AK134" s="647"/>
      <c r="AL134" s="647"/>
      <c r="AM134" s="647"/>
      <c r="AN134" s="647"/>
      <c r="AO134" s="647"/>
      <c r="AP134" s="647"/>
      <c r="AQ134" s="647"/>
      <c r="AR134" s="647"/>
      <c r="AS134" s="647"/>
      <c r="AT134" s="647"/>
      <c r="AU134" s="647"/>
      <c r="AV134" s="647"/>
      <c r="AW134" s="647"/>
      <c r="AX134" s="647"/>
      <c r="AY134" s="647"/>
      <c r="AZ134" s="647"/>
      <c r="BA134" s="647"/>
      <c r="BB134" s="647"/>
      <c r="BC134" s="647"/>
      <c r="BD134" s="647"/>
      <c r="BE134" s="647"/>
    </row>
    <row r="135" spans="1:57">
      <c r="A135" s="651" t="s">
        <v>98</v>
      </c>
      <c r="B135" s="651">
        <v>0.85</v>
      </c>
      <c r="C135" s="651"/>
      <c r="D135" s="660" t="s">
        <v>385</v>
      </c>
      <c r="E135" s="651"/>
      <c r="F135" s="651"/>
      <c r="G135" s="651"/>
      <c r="H135" s="651"/>
      <c r="I135" s="651"/>
      <c r="J135" s="651"/>
      <c r="K135" s="651"/>
      <c r="L135" s="651"/>
      <c r="M135" s="651"/>
      <c r="N135" s="651"/>
      <c r="O135" s="651"/>
      <c r="P135" s="651"/>
      <c r="Q135" s="651"/>
      <c r="R135" s="656"/>
      <c r="S135" s="656"/>
      <c r="T135" s="656"/>
      <c r="U135" s="656"/>
      <c r="V135" s="656"/>
      <c r="W135" s="656"/>
      <c r="X135" s="656"/>
      <c r="Y135" s="656"/>
      <c r="Z135" s="647"/>
      <c r="AA135" s="647"/>
      <c r="AB135" s="647"/>
      <c r="AC135" s="647"/>
      <c r="AD135" s="647"/>
      <c r="AE135" s="647"/>
      <c r="AF135" s="647"/>
      <c r="AG135" s="647"/>
      <c r="AH135" s="647"/>
      <c r="AI135" s="647"/>
      <c r="AJ135" s="647"/>
      <c r="AK135" s="647"/>
      <c r="AL135" s="647"/>
      <c r="AM135" s="647"/>
      <c r="AN135" s="647"/>
      <c r="AO135" s="647"/>
      <c r="AP135" s="647"/>
      <c r="AQ135" s="647"/>
      <c r="AR135" s="647"/>
      <c r="AS135" s="647"/>
      <c r="AT135" s="647"/>
      <c r="AU135" s="647"/>
      <c r="AV135" s="647"/>
      <c r="AW135" s="647"/>
      <c r="AX135" s="647"/>
      <c r="AY135" s="647"/>
      <c r="AZ135" s="647"/>
      <c r="BA135" s="647"/>
      <c r="BB135" s="647"/>
      <c r="BC135" s="647"/>
      <c r="BD135" s="647"/>
      <c r="BE135" s="647"/>
    </row>
    <row r="136" spans="1:57">
      <c r="A136" s="651" t="s">
        <v>100</v>
      </c>
      <c r="B136" s="651">
        <f>1-B135</f>
        <v>0.15000000000000002</v>
      </c>
      <c r="C136" s="651"/>
      <c r="D136" s="660" t="s">
        <v>385</v>
      </c>
      <c r="E136" s="651"/>
      <c r="F136" s="651"/>
      <c r="G136" s="651"/>
      <c r="H136" s="651"/>
      <c r="I136" s="651"/>
      <c r="J136" s="651"/>
      <c r="K136" s="651"/>
      <c r="L136" s="651"/>
      <c r="M136" s="651"/>
      <c r="N136" s="651"/>
      <c r="O136" s="651"/>
      <c r="P136" s="651"/>
      <c r="Q136" s="651"/>
      <c r="R136" s="656"/>
      <c r="S136" s="656"/>
      <c r="T136" s="656"/>
      <c r="U136" s="656"/>
      <c r="V136" s="656"/>
      <c r="W136" s="656"/>
      <c r="X136" s="656"/>
      <c r="Y136" s="656"/>
      <c r="Z136" s="647"/>
      <c r="AA136" s="647"/>
      <c r="AB136" s="647"/>
      <c r="AC136" s="647"/>
      <c r="AD136" s="647"/>
      <c r="AE136" s="647"/>
      <c r="AF136" s="647"/>
      <c r="AG136" s="647"/>
      <c r="AH136" s="647"/>
      <c r="AI136" s="647"/>
      <c r="AJ136" s="647"/>
      <c r="AK136" s="647"/>
      <c r="AL136" s="647"/>
      <c r="AM136" s="647"/>
      <c r="AN136" s="647"/>
      <c r="AO136" s="647"/>
      <c r="AP136" s="647"/>
      <c r="AQ136" s="647"/>
      <c r="AR136" s="647"/>
      <c r="AS136" s="647"/>
      <c r="AT136" s="647"/>
      <c r="AU136" s="647"/>
      <c r="AV136" s="647"/>
      <c r="AW136" s="647"/>
      <c r="AX136" s="647"/>
      <c r="AY136" s="647"/>
      <c r="AZ136" s="647"/>
      <c r="BA136" s="647"/>
      <c r="BB136" s="647"/>
      <c r="BC136" s="647"/>
      <c r="BD136" s="647"/>
      <c r="BE136" s="647"/>
    </row>
    <row r="137" spans="1:57">
      <c r="A137" s="651" t="s">
        <v>99</v>
      </c>
      <c r="B137" s="583">
        <v>1799</v>
      </c>
      <c r="C137" s="651"/>
      <c r="D137" s="660" t="s">
        <v>421</v>
      </c>
      <c r="E137" s="651"/>
      <c r="F137" s="651"/>
      <c r="G137" s="651"/>
      <c r="H137" s="651"/>
      <c r="I137" s="651"/>
      <c r="J137" s="651"/>
      <c r="K137" s="651"/>
      <c r="L137" s="651"/>
      <c r="M137" s="651"/>
      <c r="N137" s="651"/>
      <c r="O137" s="651"/>
      <c r="P137" s="651"/>
      <c r="Q137" s="651"/>
      <c r="R137" s="656"/>
      <c r="S137" s="656"/>
      <c r="T137" s="656"/>
      <c r="U137" s="656"/>
      <c r="V137" s="656"/>
      <c r="W137" s="656"/>
      <c r="X137" s="656"/>
      <c r="Y137" s="656"/>
      <c r="Z137" s="647"/>
      <c r="AA137" s="647"/>
      <c r="AB137" s="647"/>
      <c r="AC137" s="647"/>
      <c r="AD137" s="647"/>
      <c r="AE137" s="647"/>
      <c r="AF137" s="647"/>
      <c r="AG137" s="647"/>
      <c r="AH137" s="647"/>
      <c r="AI137" s="647"/>
      <c r="AJ137" s="647"/>
      <c r="AK137" s="647"/>
      <c r="AL137" s="647"/>
      <c r="AM137" s="647"/>
      <c r="AN137" s="647"/>
      <c r="AO137" s="647"/>
      <c r="AP137" s="647"/>
      <c r="AQ137" s="647"/>
      <c r="AR137" s="647"/>
      <c r="AS137" s="647"/>
      <c r="AT137" s="647"/>
      <c r="AU137" s="647"/>
      <c r="AV137" s="647"/>
      <c r="AW137" s="647"/>
      <c r="AX137" s="647"/>
      <c r="AY137" s="647"/>
      <c r="AZ137" s="647"/>
      <c r="BA137" s="647"/>
      <c r="BB137" s="647"/>
      <c r="BC137" s="647"/>
      <c r="BD137" s="647"/>
      <c r="BE137" s="647"/>
    </row>
    <row r="138" spans="1:57">
      <c r="A138" s="651" t="s">
        <v>101</v>
      </c>
      <c r="B138" s="583">
        <v>1538</v>
      </c>
      <c r="C138" s="651"/>
      <c r="D138" s="660" t="s">
        <v>394</v>
      </c>
      <c r="E138" s="651"/>
      <c r="F138" s="651"/>
      <c r="G138" s="651"/>
      <c r="H138" s="651"/>
      <c r="I138" s="651"/>
      <c r="J138" s="651"/>
      <c r="K138" s="651"/>
      <c r="L138" s="651"/>
      <c r="M138" s="651"/>
      <c r="N138" s="651"/>
      <c r="O138" s="651"/>
      <c r="P138" s="651"/>
      <c r="Q138" s="651"/>
      <c r="R138" s="656"/>
      <c r="S138" s="656"/>
      <c r="T138" s="656"/>
      <c r="U138" s="656"/>
      <c r="V138" s="656"/>
      <c r="W138" s="656"/>
      <c r="X138" s="656"/>
      <c r="Y138" s="656"/>
      <c r="Z138" s="647"/>
      <c r="AA138" s="647"/>
      <c r="AB138" s="647"/>
      <c r="AC138" s="647"/>
      <c r="AD138" s="647"/>
      <c r="AE138" s="647"/>
      <c r="AF138" s="647"/>
      <c r="AG138" s="647"/>
      <c r="AH138" s="647"/>
      <c r="AI138" s="647"/>
      <c r="AJ138" s="647"/>
      <c r="AK138" s="647"/>
      <c r="AL138" s="647"/>
      <c r="AM138" s="647"/>
      <c r="AN138" s="647"/>
      <c r="AO138" s="647"/>
      <c r="AP138" s="647"/>
      <c r="AQ138" s="647"/>
      <c r="AR138" s="647"/>
      <c r="AS138" s="647"/>
      <c r="AT138" s="647"/>
      <c r="AU138" s="647"/>
      <c r="AV138" s="647"/>
      <c r="AW138" s="647"/>
      <c r="AX138" s="647"/>
      <c r="AY138" s="647"/>
      <c r="AZ138" s="647"/>
      <c r="BA138" s="647"/>
      <c r="BB138" s="647"/>
      <c r="BC138" s="647"/>
      <c r="BD138" s="647"/>
      <c r="BE138" s="647"/>
    </row>
    <row r="139" spans="1:57">
      <c r="R139" s="647"/>
      <c r="S139" s="647"/>
      <c r="T139" s="647"/>
      <c r="U139" s="647"/>
      <c r="V139" s="647"/>
      <c r="W139" s="647"/>
      <c r="X139" s="647"/>
      <c r="Y139" s="647"/>
      <c r="Z139" s="647"/>
      <c r="AA139" s="647"/>
      <c r="AB139" s="647"/>
      <c r="AC139" s="647"/>
      <c r="AD139" s="647"/>
      <c r="AE139" s="647"/>
      <c r="AF139" s="647"/>
      <c r="AG139" s="647"/>
      <c r="AH139" s="647"/>
      <c r="AI139" s="647"/>
      <c r="AJ139" s="647"/>
      <c r="AK139" s="647"/>
      <c r="AL139" s="647"/>
      <c r="AM139" s="647"/>
      <c r="AN139" s="647"/>
      <c r="AO139" s="647"/>
      <c r="AP139" s="647"/>
      <c r="AQ139" s="647"/>
      <c r="AR139" s="647"/>
      <c r="AS139" s="647"/>
      <c r="AT139" s="647"/>
      <c r="AU139" s="647"/>
      <c r="AV139" s="647"/>
      <c r="AW139" s="647"/>
      <c r="AX139" s="647"/>
      <c r="AY139" s="647"/>
      <c r="AZ139" s="647"/>
      <c r="BA139" s="647"/>
      <c r="BB139" s="647"/>
      <c r="BC139" s="647"/>
      <c r="BD139" s="647"/>
      <c r="BE139" s="647"/>
    </row>
    <row r="140" spans="1:57">
      <c r="A140" s="774" t="s">
        <v>48</v>
      </c>
      <c r="B140" s="775" t="s">
        <v>716</v>
      </c>
      <c r="C140" s="775"/>
      <c r="D140" s="775"/>
      <c r="E140" s="775"/>
      <c r="F140" s="775"/>
      <c r="G140" s="775"/>
      <c r="H140" s="775"/>
      <c r="I140" s="775"/>
      <c r="J140" s="775"/>
      <c r="K140" s="775"/>
      <c r="L140" s="775"/>
      <c r="M140" s="775"/>
      <c r="N140" s="775"/>
      <c r="O140" s="775"/>
      <c r="P140" s="775"/>
      <c r="Q140" s="775"/>
      <c r="R140" s="647"/>
      <c r="S140" s="647"/>
      <c r="T140" s="647"/>
      <c r="U140" s="647"/>
      <c r="V140" s="647"/>
      <c r="W140" s="647"/>
      <c r="X140" s="647"/>
      <c r="Y140" s="647"/>
      <c r="Z140" s="647"/>
      <c r="AA140" s="647"/>
      <c r="AB140" s="647"/>
      <c r="AC140" s="647"/>
      <c r="AD140" s="647"/>
      <c r="AE140" s="647"/>
      <c r="AF140" s="647"/>
      <c r="AG140" s="647"/>
      <c r="AH140" s="647"/>
      <c r="AI140" s="647"/>
      <c r="AJ140" s="647"/>
      <c r="AK140" s="647"/>
      <c r="AL140" s="647"/>
      <c r="AM140" s="647"/>
      <c r="AN140" s="647"/>
      <c r="AO140" s="647"/>
      <c r="AP140" s="647"/>
      <c r="AQ140" s="647"/>
      <c r="AR140" s="647"/>
      <c r="AS140" s="647"/>
      <c r="AT140" s="647"/>
      <c r="AU140" s="647"/>
      <c r="AV140" s="647"/>
      <c r="AW140" s="647"/>
      <c r="AX140" s="647"/>
      <c r="AY140" s="647"/>
      <c r="AZ140" s="647"/>
      <c r="BA140" s="647"/>
      <c r="BB140" s="647"/>
      <c r="BC140" s="647"/>
      <c r="BD140" s="647"/>
      <c r="BE140" s="647"/>
    </row>
    <row r="141" spans="1:57" ht="16.5" customHeight="1">
      <c r="A141" s="774"/>
      <c r="B141" s="776" t="s">
        <v>2</v>
      </c>
      <c r="C141" s="776" t="s">
        <v>31</v>
      </c>
      <c r="D141" s="776" t="s">
        <v>32</v>
      </c>
      <c r="E141" s="776"/>
      <c r="F141" s="776"/>
      <c r="G141" s="776"/>
      <c r="H141" s="776"/>
      <c r="I141" s="776"/>
      <c r="J141" s="776"/>
      <c r="K141" s="776"/>
      <c r="L141" s="776" t="s">
        <v>33</v>
      </c>
      <c r="M141" s="776"/>
      <c r="N141" s="776"/>
      <c r="O141" s="776"/>
      <c r="P141" s="776"/>
      <c r="Q141" s="776" t="s">
        <v>27</v>
      </c>
      <c r="R141" s="647"/>
      <c r="S141" s="647"/>
      <c r="T141" s="647"/>
      <c r="U141" s="647"/>
      <c r="V141" s="647"/>
      <c r="W141" s="647"/>
      <c r="X141" s="647"/>
      <c r="Y141" s="647"/>
      <c r="Z141" s="647"/>
      <c r="AA141" s="647"/>
      <c r="AB141" s="647"/>
      <c r="AC141" s="647"/>
      <c r="AD141" s="647"/>
      <c r="AE141" s="647"/>
      <c r="AF141" s="647"/>
      <c r="AG141" s="647"/>
      <c r="AH141" s="647"/>
      <c r="AI141" s="647"/>
      <c r="AJ141" s="647"/>
      <c r="AK141" s="647"/>
      <c r="AL141" s="647"/>
      <c r="AM141" s="647"/>
      <c r="AN141" s="647"/>
      <c r="AO141" s="647"/>
      <c r="AP141" s="647"/>
      <c r="AQ141" s="647"/>
      <c r="AR141" s="647"/>
      <c r="AS141" s="647"/>
      <c r="AT141" s="647"/>
      <c r="AU141" s="647"/>
      <c r="AV141" s="647"/>
      <c r="AW141" s="647"/>
      <c r="AX141" s="647"/>
      <c r="AY141" s="647"/>
      <c r="AZ141" s="647"/>
      <c r="BA141" s="647"/>
      <c r="BB141" s="647"/>
      <c r="BC141" s="647"/>
      <c r="BD141" s="647"/>
      <c r="BE141" s="647"/>
    </row>
    <row r="142" spans="1:57" ht="45">
      <c r="A142" s="774"/>
      <c r="B142" s="776"/>
      <c r="C142" s="776"/>
      <c r="D142" s="662" t="s">
        <v>34</v>
      </c>
      <c r="E142" s="662" t="s">
        <v>35</v>
      </c>
      <c r="F142" s="662" t="s">
        <v>36</v>
      </c>
      <c r="G142" s="662" t="s">
        <v>37</v>
      </c>
      <c r="H142" s="662" t="s">
        <v>29</v>
      </c>
      <c r="I142" s="662" t="s">
        <v>38</v>
      </c>
      <c r="J142" s="662" t="s">
        <v>39</v>
      </c>
      <c r="K142" s="662" t="s">
        <v>40</v>
      </c>
      <c r="L142" s="662" t="s">
        <v>41</v>
      </c>
      <c r="M142" s="662" t="s">
        <v>42</v>
      </c>
      <c r="N142" s="662" t="s">
        <v>43</v>
      </c>
      <c r="O142" s="662" t="s">
        <v>44</v>
      </c>
      <c r="P142" s="662" t="s">
        <v>45</v>
      </c>
      <c r="Q142" s="776"/>
      <c r="R142" s="647"/>
      <c r="S142" s="647"/>
      <c r="T142" s="647"/>
      <c r="U142" s="647"/>
      <c r="V142" s="647"/>
      <c r="W142" s="647"/>
      <c r="X142" s="647"/>
      <c r="Y142" s="647"/>
      <c r="Z142" s="647"/>
      <c r="AA142" s="647"/>
      <c r="AB142" s="647"/>
      <c r="AC142" s="647"/>
      <c r="AD142" s="647"/>
      <c r="AE142" s="647"/>
      <c r="AF142" s="647"/>
      <c r="AG142" s="647"/>
      <c r="AH142" s="647"/>
      <c r="AI142" s="647"/>
      <c r="AJ142" s="647"/>
      <c r="AK142" s="647"/>
      <c r="AL142" s="647"/>
      <c r="AM142" s="647"/>
      <c r="AN142" s="647"/>
      <c r="AO142" s="647"/>
      <c r="AP142" s="647"/>
      <c r="AQ142" s="647"/>
      <c r="AR142" s="647"/>
      <c r="AS142" s="647"/>
      <c r="AT142" s="647"/>
      <c r="AU142" s="647"/>
      <c r="AV142" s="647"/>
      <c r="AW142" s="647"/>
      <c r="AX142" s="647"/>
      <c r="AY142" s="647"/>
      <c r="AZ142" s="647"/>
      <c r="BA142" s="647"/>
      <c r="BB142" s="647"/>
      <c r="BC142" s="647"/>
      <c r="BD142" s="647"/>
      <c r="BE142" s="647"/>
    </row>
    <row r="143" spans="1:57">
      <c r="A143" s="663" t="s">
        <v>49</v>
      </c>
      <c r="B143" s="663">
        <f>SUM(B145,B147)</f>
        <v>41772.382268276859</v>
      </c>
      <c r="C143" s="663">
        <f t="shared" ref="C143:P143" si="2">SUM(C145,C147)</f>
        <v>0</v>
      </c>
      <c r="D143" s="663">
        <f t="shared" si="2"/>
        <v>144222.50067764692</v>
      </c>
      <c r="E143" s="663">
        <f t="shared" si="2"/>
        <v>813.09720499321566</v>
      </c>
      <c r="F143" s="663">
        <f t="shared" si="2"/>
        <v>14835.463861469714</v>
      </c>
      <c r="G143" s="663">
        <f t="shared" si="2"/>
        <v>0</v>
      </c>
      <c r="H143" s="663">
        <f t="shared" si="2"/>
        <v>0</v>
      </c>
      <c r="I143" s="663">
        <f t="shared" si="2"/>
        <v>0</v>
      </c>
      <c r="J143" s="663">
        <f t="shared" si="2"/>
        <v>0</v>
      </c>
      <c r="K143" s="663">
        <f t="shared" si="2"/>
        <v>0</v>
      </c>
      <c r="L143" s="663">
        <f t="shared" si="2"/>
        <v>0</v>
      </c>
      <c r="M143" s="663">
        <f t="shared" si="2"/>
        <v>0</v>
      </c>
      <c r="N143" s="663">
        <f t="shared" si="2"/>
        <v>4852.1735526480306</v>
      </c>
      <c r="O143" s="663">
        <f t="shared" si="2"/>
        <v>98.386065778066751</v>
      </c>
      <c r="P143" s="663">
        <f t="shared" si="2"/>
        <v>0</v>
      </c>
      <c r="Q143" s="663">
        <f>SUM(B143:P143)</f>
        <v>206594.00363081277</v>
      </c>
      <c r="R143" s="647"/>
      <c r="S143" s="647"/>
      <c r="T143" s="647"/>
      <c r="U143" s="647"/>
      <c r="V143" s="647"/>
      <c r="W143" s="647"/>
      <c r="X143" s="647"/>
      <c r="Y143" s="647"/>
      <c r="Z143" s="647"/>
      <c r="AA143" s="647"/>
      <c r="AB143" s="647"/>
      <c r="AC143" s="647"/>
      <c r="AD143" s="647"/>
      <c r="AE143" s="647"/>
      <c r="AF143" s="647"/>
      <c r="AG143" s="647"/>
      <c r="AH143" s="647"/>
      <c r="AI143" s="647"/>
      <c r="AJ143" s="647"/>
      <c r="AK143" s="647"/>
      <c r="AL143" s="647"/>
      <c r="AM143" s="647"/>
      <c r="AN143" s="647"/>
      <c r="AO143" s="647"/>
      <c r="AP143" s="647"/>
      <c r="AQ143" s="647"/>
      <c r="AR143" s="647"/>
      <c r="AS143" s="647"/>
      <c r="AT143" s="647"/>
      <c r="AU143" s="647"/>
      <c r="AV143" s="647"/>
      <c r="AW143" s="647"/>
      <c r="AX143" s="647"/>
      <c r="AY143" s="647"/>
      <c r="AZ143" s="647"/>
      <c r="BA143" s="647"/>
      <c r="BB143" s="647"/>
      <c r="BC143" s="647"/>
      <c r="BD143" s="647"/>
      <c r="BE143" s="647"/>
    </row>
    <row r="144" spans="1:57" s="617" customFormat="1">
      <c r="R144" s="596"/>
      <c r="S144" s="596"/>
      <c r="T144" s="596"/>
      <c r="U144" s="596"/>
      <c r="V144" s="596"/>
      <c r="W144" s="596"/>
      <c r="X144" s="596"/>
      <c r="Y144" s="596"/>
      <c r="Z144" s="596"/>
      <c r="AA144" s="596"/>
      <c r="AB144" s="596"/>
      <c r="AC144" s="596"/>
      <c r="AD144" s="596"/>
      <c r="AE144" s="596"/>
      <c r="AF144" s="596"/>
      <c r="AG144" s="596"/>
      <c r="AH144" s="596"/>
      <c r="AI144" s="596"/>
      <c r="AJ144" s="596"/>
      <c r="AK144" s="596"/>
      <c r="AL144" s="596"/>
      <c r="AM144" s="596"/>
      <c r="AN144" s="596"/>
      <c r="AO144" s="596"/>
      <c r="AP144" s="596"/>
      <c r="AQ144" s="596"/>
      <c r="AR144" s="596"/>
      <c r="AS144" s="596"/>
      <c r="AT144" s="596"/>
      <c r="AU144" s="596"/>
      <c r="AV144" s="596"/>
      <c r="AW144" s="596"/>
      <c r="AX144" s="596"/>
      <c r="AY144" s="596"/>
      <c r="AZ144" s="596"/>
      <c r="BA144" s="596"/>
      <c r="BB144" s="596"/>
      <c r="BC144" s="596"/>
      <c r="BD144" s="596"/>
      <c r="BE144" s="596"/>
    </row>
    <row r="145" spans="1:57">
      <c r="A145" s="663" t="s">
        <v>92</v>
      </c>
      <c r="B145" s="663">
        <f>B128*$B$135*$B$137/$B$138+$B$136*B128</f>
        <v>34282.242607236243</v>
      </c>
      <c r="C145" s="663">
        <f>C128*$B$135*$B$137/$B$138+$B$136*C128</f>
        <v>0</v>
      </c>
      <c r="D145" s="663">
        <f>D128*$B$135*$B$137/$B$138+$B$136*D128</f>
        <v>144222.50067764692</v>
      </c>
      <c r="E145" s="663">
        <f t="shared" ref="E145:P145" si="3">E128*$B$135*$B$137/$B$138+$B$136*E128</f>
        <v>813.09720499321566</v>
      </c>
      <c r="F145" s="663">
        <f t="shared" si="3"/>
        <v>14835.463861469714</v>
      </c>
      <c r="G145" s="663">
        <f t="shared" si="3"/>
        <v>0</v>
      </c>
      <c r="H145" s="663">
        <f t="shared" si="3"/>
        <v>0</v>
      </c>
      <c r="I145" s="663">
        <f t="shared" si="3"/>
        <v>0</v>
      </c>
      <c r="J145" s="663">
        <f t="shared" si="3"/>
        <v>0</v>
      </c>
      <c r="K145" s="663">
        <f t="shared" si="3"/>
        <v>0</v>
      </c>
      <c r="L145" s="663">
        <f t="shared" si="3"/>
        <v>0</v>
      </c>
      <c r="M145" s="663">
        <f t="shared" si="3"/>
        <v>0</v>
      </c>
      <c r="N145" s="663">
        <f t="shared" si="3"/>
        <v>4852.1735526480306</v>
      </c>
      <c r="O145" s="663">
        <f t="shared" si="3"/>
        <v>98.386065778066751</v>
      </c>
      <c r="P145" s="663">
        <f t="shared" si="3"/>
        <v>0</v>
      </c>
      <c r="Q145" s="663">
        <f>SUM(B145:P145)</f>
        <v>199103.86396977215</v>
      </c>
      <c r="R145" s="647"/>
      <c r="S145" s="666"/>
      <c r="T145" s="647"/>
      <c r="U145" s="647"/>
      <c r="V145" s="647"/>
      <c r="W145" s="647"/>
      <c r="X145" s="647"/>
      <c r="Y145" s="647"/>
      <c r="Z145" s="647"/>
      <c r="AA145" s="647"/>
      <c r="AB145" s="647"/>
      <c r="AC145" s="647"/>
      <c r="AD145" s="647"/>
      <c r="AE145" s="647"/>
      <c r="AF145" s="647"/>
      <c r="AG145" s="647"/>
      <c r="AH145" s="647"/>
      <c r="AI145" s="647"/>
      <c r="AJ145" s="647"/>
      <c r="AK145" s="647"/>
      <c r="AL145" s="647"/>
      <c r="AM145" s="647"/>
      <c r="AN145" s="647"/>
      <c r="AO145" s="647"/>
      <c r="AP145" s="647"/>
      <c r="AQ145" s="647"/>
      <c r="AR145" s="647"/>
      <c r="AS145" s="647"/>
      <c r="AT145" s="647"/>
      <c r="AU145" s="647"/>
      <c r="AV145" s="647"/>
      <c r="AW145" s="647"/>
      <c r="AX145" s="647"/>
      <c r="AY145" s="647"/>
      <c r="AZ145" s="647"/>
      <c r="BA145" s="647"/>
      <c r="BB145" s="647"/>
      <c r="BC145" s="647"/>
      <c r="BD145" s="647"/>
      <c r="BE145" s="647"/>
    </row>
    <row r="146" spans="1:57">
      <c r="A146" s="667" t="s">
        <v>94</v>
      </c>
      <c r="B146" s="668">
        <f t="shared" ref="B146:Q146" si="4">B129</f>
        <v>0.17218270868133906</v>
      </c>
      <c r="C146" s="668">
        <f t="shared" si="4"/>
        <v>0</v>
      </c>
      <c r="D146" s="668">
        <f t="shared" si="4"/>
        <v>0.72435812044081016</v>
      </c>
      <c r="E146" s="668">
        <f t="shared" si="4"/>
        <v>4.0837841555734925E-3</v>
      </c>
      <c r="F146" s="668">
        <f t="shared" si="4"/>
        <v>7.4511180072939345E-2</v>
      </c>
      <c r="G146" s="668">
        <f t="shared" si="4"/>
        <v>0</v>
      </c>
      <c r="H146" s="668">
        <f t="shared" si="4"/>
        <v>0</v>
      </c>
      <c r="I146" s="668">
        <f t="shared" si="4"/>
        <v>0</v>
      </c>
      <c r="J146" s="668">
        <f t="shared" si="4"/>
        <v>0</v>
      </c>
      <c r="K146" s="668">
        <f t="shared" si="4"/>
        <v>0</v>
      </c>
      <c r="L146" s="668">
        <f t="shared" si="4"/>
        <v>0</v>
      </c>
      <c r="M146" s="668">
        <f t="shared" si="4"/>
        <v>0</v>
      </c>
      <c r="N146" s="668">
        <f t="shared" si="4"/>
        <v>2.4370062217299229E-2</v>
      </c>
      <c r="O146" s="668">
        <f t="shared" si="4"/>
        <v>4.9414443203876573E-4</v>
      </c>
      <c r="P146" s="668">
        <f t="shared" si="4"/>
        <v>0</v>
      </c>
      <c r="Q146" s="668">
        <f t="shared" si="4"/>
        <v>1</v>
      </c>
      <c r="R146" s="647"/>
      <c r="S146" s="666"/>
      <c r="T146" s="647"/>
      <c r="U146" s="647"/>
      <c r="V146" s="647"/>
      <c r="W146" s="647"/>
      <c r="X146" s="647"/>
      <c r="Y146" s="647"/>
      <c r="Z146" s="647"/>
      <c r="AA146" s="647"/>
      <c r="AB146" s="647"/>
      <c r="AC146" s="647"/>
      <c r="AD146" s="647"/>
      <c r="AE146" s="647"/>
      <c r="AF146" s="647"/>
      <c r="AG146" s="647"/>
      <c r="AH146" s="647"/>
      <c r="AI146" s="647"/>
      <c r="AJ146" s="647"/>
      <c r="AK146" s="647"/>
      <c r="AL146" s="647"/>
      <c r="AM146" s="647"/>
      <c r="AN146" s="647"/>
      <c r="AO146" s="647"/>
      <c r="AP146" s="647"/>
      <c r="AQ146" s="647"/>
      <c r="AR146" s="647"/>
      <c r="AS146" s="647"/>
      <c r="AT146" s="647"/>
      <c r="AU146" s="647"/>
      <c r="AV146" s="647"/>
      <c r="AW146" s="647"/>
      <c r="AX146" s="647"/>
      <c r="AY146" s="647"/>
      <c r="AZ146" s="647"/>
      <c r="BA146" s="647"/>
      <c r="BB146" s="647"/>
      <c r="BC146" s="647"/>
      <c r="BD146" s="647"/>
      <c r="BE146" s="647"/>
    </row>
    <row r="147" spans="1:57">
      <c r="A147" s="663" t="s">
        <v>93</v>
      </c>
      <c r="B147" s="663">
        <f t="shared" ref="B147:Q147" si="5">B130</f>
        <v>7490.1396610406182</v>
      </c>
      <c r="C147" s="663">
        <f t="shared" si="5"/>
        <v>0</v>
      </c>
      <c r="D147" s="663">
        <f t="shared" si="5"/>
        <v>0</v>
      </c>
      <c r="E147" s="663">
        <f t="shared" si="5"/>
        <v>0</v>
      </c>
      <c r="F147" s="663">
        <f t="shared" si="5"/>
        <v>0</v>
      </c>
      <c r="G147" s="663">
        <f t="shared" si="5"/>
        <v>0</v>
      </c>
      <c r="H147" s="663">
        <f t="shared" si="5"/>
        <v>0</v>
      </c>
      <c r="I147" s="663">
        <f t="shared" si="5"/>
        <v>0</v>
      </c>
      <c r="J147" s="663">
        <f t="shared" si="5"/>
        <v>0</v>
      </c>
      <c r="K147" s="663">
        <f t="shared" si="5"/>
        <v>0</v>
      </c>
      <c r="L147" s="663">
        <f t="shared" si="5"/>
        <v>0</v>
      </c>
      <c r="M147" s="663">
        <f t="shared" si="5"/>
        <v>0</v>
      </c>
      <c r="N147" s="663">
        <f t="shared" si="5"/>
        <v>0</v>
      </c>
      <c r="O147" s="663">
        <f t="shared" si="5"/>
        <v>0</v>
      </c>
      <c r="P147" s="663">
        <f t="shared" si="5"/>
        <v>0</v>
      </c>
      <c r="Q147" s="663">
        <f t="shared" si="5"/>
        <v>7490.1396610406182</v>
      </c>
      <c r="R147" s="647"/>
      <c r="S147" s="666"/>
      <c r="T147" s="647"/>
      <c r="U147" s="647"/>
      <c r="V147" s="647"/>
      <c r="W147" s="647"/>
      <c r="X147" s="647"/>
      <c r="Y147" s="647"/>
      <c r="Z147" s="647"/>
      <c r="AA147" s="647"/>
      <c r="AB147" s="647"/>
      <c r="AC147" s="647"/>
      <c r="AD147" s="647"/>
      <c r="AE147" s="647"/>
      <c r="AF147" s="647"/>
      <c r="AG147" s="647"/>
      <c r="AH147" s="647"/>
      <c r="AI147" s="647"/>
      <c r="AJ147" s="647"/>
      <c r="AK147" s="647"/>
      <c r="AL147" s="647"/>
      <c r="AM147" s="647"/>
      <c r="AN147" s="647"/>
      <c r="AO147" s="647"/>
      <c r="AP147" s="647"/>
      <c r="AQ147" s="647"/>
      <c r="AR147" s="647"/>
      <c r="AS147" s="647"/>
      <c r="AT147" s="647"/>
      <c r="AU147" s="647"/>
      <c r="AV147" s="647"/>
      <c r="AW147" s="647"/>
      <c r="AX147" s="647"/>
      <c r="AY147" s="647"/>
      <c r="AZ147" s="647"/>
      <c r="BA147" s="647"/>
      <c r="BB147" s="647"/>
      <c r="BC147" s="647"/>
      <c r="BD147" s="647"/>
      <c r="BE147" s="647"/>
    </row>
    <row r="148" spans="1:57">
      <c r="A148" s="669"/>
      <c r="B148" s="669"/>
      <c r="C148" s="669"/>
      <c r="D148" s="669"/>
      <c r="E148" s="669"/>
      <c r="F148" s="669"/>
      <c r="G148" s="669"/>
      <c r="H148" s="669"/>
      <c r="I148" s="669"/>
      <c r="J148" s="669"/>
      <c r="K148" s="669"/>
      <c r="L148" s="669"/>
      <c r="M148" s="669"/>
      <c r="N148" s="669"/>
      <c r="O148" s="669"/>
      <c r="P148" s="669"/>
      <c r="Q148" s="669"/>
      <c r="R148" s="647"/>
      <c r="S148" s="666"/>
      <c r="T148" s="647"/>
      <c r="U148" s="647"/>
      <c r="V148" s="647"/>
      <c r="W148" s="647"/>
      <c r="X148" s="647"/>
      <c r="Y148" s="647"/>
      <c r="Z148" s="647"/>
      <c r="AA148" s="647"/>
      <c r="AB148" s="647"/>
      <c r="AC148" s="647"/>
      <c r="AD148" s="647"/>
      <c r="AE148" s="647"/>
      <c r="AF148" s="647"/>
      <c r="AG148" s="647"/>
      <c r="AH148" s="647"/>
      <c r="AI148" s="647"/>
      <c r="AJ148" s="647"/>
      <c r="AK148" s="647"/>
      <c r="AL148" s="647"/>
      <c r="AM148" s="647"/>
      <c r="AN148" s="647"/>
      <c r="AO148" s="647"/>
      <c r="AP148" s="647"/>
      <c r="AQ148" s="647"/>
      <c r="AR148" s="647"/>
      <c r="AS148" s="647"/>
      <c r="AT148" s="647"/>
      <c r="AU148" s="647"/>
      <c r="AV148" s="647"/>
      <c r="AW148" s="647"/>
      <c r="AX148" s="647"/>
      <c r="AY148" s="647"/>
      <c r="AZ148" s="647"/>
      <c r="BA148" s="647"/>
      <c r="BB148" s="647"/>
      <c r="BC148" s="647"/>
      <c r="BD148" s="647"/>
      <c r="BE148" s="647"/>
    </row>
    <row r="149" spans="1:57">
      <c r="A149" s="669"/>
      <c r="B149" s="669"/>
      <c r="C149" s="669"/>
      <c r="D149" s="669"/>
      <c r="E149" s="669"/>
      <c r="F149" s="669"/>
      <c r="G149" s="669"/>
      <c r="H149" s="669"/>
      <c r="I149" s="669"/>
      <c r="J149" s="669"/>
      <c r="K149" s="669"/>
      <c r="L149" s="669"/>
      <c r="M149" s="669"/>
      <c r="N149" s="669"/>
      <c r="O149" s="669"/>
      <c r="P149" s="669"/>
      <c r="Q149" s="669"/>
      <c r="R149" s="647"/>
      <c r="S149" s="666"/>
      <c r="T149" s="647"/>
      <c r="U149" s="647"/>
      <c r="V149" s="647"/>
      <c r="W149" s="647"/>
      <c r="X149" s="647"/>
      <c r="Y149" s="647"/>
      <c r="Z149" s="647"/>
      <c r="AA149" s="647"/>
      <c r="AB149" s="647"/>
      <c r="AC149" s="647"/>
      <c r="AD149" s="647"/>
      <c r="AE149" s="647"/>
      <c r="AF149" s="647"/>
      <c r="AG149" s="647"/>
      <c r="AH149" s="647"/>
      <c r="AI149" s="647"/>
      <c r="AJ149" s="647"/>
      <c r="AK149" s="647"/>
      <c r="AL149" s="647"/>
      <c r="AM149" s="647"/>
      <c r="AN149" s="647"/>
      <c r="AO149" s="647"/>
      <c r="AP149" s="647"/>
      <c r="AQ149" s="647"/>
      <c r="AR149" s="647"/>
      <c r="AS149" s="647"/>
      <c r="AT149" s="647"/>
      <c r="AU149" s="647"/>
      <c r="AV149" s="647"/>
      <c r="AW149" s="647"/>
      <c r="AX149" s="647"/>
      <c r="AY149" s="647"/>
      <c r="AZ149" s="647"/>
      <c r="BA149" s="647"/>
      <c r="BB149" s="647"/>
      <c r="BC149" s="647"/>
      <c r="BD149" s="647"/>
      <c r="BE149" s="647"/>
    </row>
    <row r="150" spans="1:57">
      <c r="B150" s="669"/>
      <c r="R150" s="647"/>
      <c r="S150" s="647"/>
      <c r="T150" s="647"/>
      <c r="U150" s="647"/>
      <c r="V150" s="647"/>
      <c r="W150" s="647"/>
      <c r="X150" s="647"/>
      <c r="Y150" s="647"/>
      <c r="Z150" s="647"/>
      <c r="AA150" s="647"/>
      <c r="AB150" s="647"/>
      <c r="AC150" s="647"/>
      <c r="AD150" s="647"/>
      <c r="AE150" s="647"/>
      <c r="AF150" s="647"/>
      <c r="AG150" s="647"/>
      <c r="AH150" s="647"/>
      <c r="AI150" s="647"/>
      <c r="AJ150" s="647"/>
      <c r="AK150" s="647"/>
      <c r="AL150" s="647"/>
      <c r="AM150" s="647"/>
      <c r="AN150" s="647"/>
      <c r="AO150" s="647"/>
      <c r="AP150" s="647"/>
      <c r="AQ150" s="647"/>
      <c r="AR150" s="647"/>
      <c r="AS150" s="647"/>
      <c r="AT150" s="647"/>
      <c r="AU150" s="647"/>
      <c r="AV150" s="647"/>
      <c r="AW150" s="647"/>
      <c r="AX150" s="647"/>
      <c r="AY150" s="647"/>
      <c r="AZ150" s="647"/>
      <c r="BA150" s="647"/>
      <c r="BB150" s="647"/>
      <c r="BC150" s="647"/>
      <c r="BD150" s="647"/>
      <c r="BE150" s="647"/>
    </row>
    <row r="151" spans="1:57" s="585" customFormat="1" ht="18.75">
      <c r="A151" s="584" t="s">
        <v>184</v>
      </c>
    </row>
    <row r="152" spans="1:57" s="585" customFormat="1" ht="18.75">
      <c r="A152" s="584"/>
    </row>
    <row r="153" spans="1:57" s="585" customFormat="1">
      <c r="A153" s="648" t="s">
        <v>687</v>
      </c>
      <c r="B153" s="670"/>
      <c r="C153" s="670"/>
      <c r="D153" s="670"/>
      <c r="E153" s="670"/>
      <c r="F153" s="670"/>
      <c r="G153" s="670"/>
      <c r="H153" s="670"/>
      <c r="I153" s="670"/>
      <c r="J153" s="670"/>
      <c r="K153" s="670"/>
      <c r="L153" s="670"/>
      <c r="M153" s="670"/>
      <c r="N153" s="670"/>
      <c r="O153" s="670"/>
      <c r="P153" s="670"/>
      <c r="Q153" s="670"/>
    </row>
    <row r="154" spans="1:57">
      <c r="A154" s="651" t="s">
        <v>95</v>
      </c>
      <c r="B154" s="651"/>
      <c r="C154" s="651"/>
      <c r="D154" s="651"/>
      <c r="E154" s="651"/>
      <c r="F154" s="651" t="s">
        <v>103</v>
      </c>
      <c r="G154" s="651"/>
      <c r="H154" s="651" t="s">
        <v>91</v>
      </c>
      <c r="I154" s="651"/>
      <c r="J154" s="651"/>
      <c r="K154" s="651"/>
      <c r="L154" s="651"/>
      <c r="M154" s="651"/>
      <c r="N154" s="651"/>
      <c r="O154" s="651"/>
      <c r="P154" s="651"/>
      <c r="Q154" s="651"/>
      <c r="R154" s="656"/>
      <c r="S154" s="656"/>
      <c r="T154" s="656"/>
      <c r="U154" s="656"/>
      <c r="V154" s="656"/>
      <c r="W154" s="656"/>
      <c r="X154" s="656"/>
      <c r="Y154" s="656"/>
      <c r="Z154" s="647"/>
      <c r="AA154" s="647"/>
      <c r="AB154" s="647"/>
      <c r="AC154" s="647"/>
      <c r="AD154" s="647"/>
      <c r="AE154" s="647"/>
      <c r="AF154" s="647"/>
      <c r="AG154" s="647"/>
      <c r="AH154" s="647"/>
      <c r="AI154" s="647"/>
      <c r="AJ154" s="647"/>
      <c r="AK154" s="647"/>
      <c r="AL154" s="647"/>
      <c r="AM154" s="647"/>
      <c r="AN154" s="647"/>
      <c r="AO154" s="647"/>
      <c r="AP154" s="647"/>
      <c r="AQ154" s="647"/>
      <c r="AR154" s="647"/>
      <c r="AS154" s="647"/>
      <c r="AT154" s="647"/>
      <c r="AU154" s="647"/>
      <c r="AV154" s="647"/>
      <c r="AW154" s="647"/>
      <c r="AX154" s="647"/>
      <c r="AY154" s="647"/>
      <c r="AZ154" s="647"/>
      <c r="BA154" s="647"/>
      <c r="BB154" s="647"/>
      <c r="BC154" s="647"/>
      <c r="BD154" s="647"/>
      <c r="BE154" s="647"/>
    </row>
    <row r="155" spans="1:57">
      <c r="A155" s="651"/>
      <c r="B155" s="651"/>
      <c r="C155" s="671">
        <v>2011</v>
      </c>
      <c r="D155" s="672">
        <v>2020</v>
      </c>
      <c r="E155" s="651"/>
      <c r="F155" s="651"/>
      <c r="G155" s="651"/>
      <c r="H155" s="651"/>
      <c r="I155" s="651"/>
      <c r="J155" s="651"/>
      <c r="K155" s="651"/>
      <c r="L155" s="651"/>
      <c r="M155" s="651"/>
      <c r="N155" s="651"/>
      <c r="O155" s="651"/>
      <c r="P155" s="651"/>
      <c r="Q155" s="651"/>
      <c r="R155" s="656"/>
      <c r="S155" s="656"/>
      <c r="T155" s="656"/>
      <c r="U155" s="656"/>
      <c r="V155" s="656"/>
      <c r="W155" s="656"/>
      <c r="X155" s="656"/>
      <c r="Y155" s="656"/>
      <c r="Z155" s="647"/>
      <c r="AA155" s="647"/>
      <c r="AB155" s="647"/>
      <c r="AC155" s="647"/>
      <c r="AD155" s="647"/>
      <c r="AE155" s="647"/>
      <c r="AF155" s="647"/>
      <c r="AG155" s="647"/>
      <c r="AH155" s="647"/>
      <c r="AI155" s="647"/>
      <c r="AJ155" s="647"/>
      <c r="AK155" s="647"/>
      <c r="AL155" s="647"/>
      <c r="AM155" s="647"/>
      <c r="AN155" s="647"/>
      <c r="AO155" s="647"/>
      <c r="AP155" s="647"/>
      <c r="AQ155" s="647"/>
      <c r="AR155" s="647"/>
      <c r="AS155" s="647"/>
      <c r="AT155" s="647"/>
      <c r="AU155" s="647"/>
      <c r="AV155" s="647"/>
      <c r="AW155" s="647"/>
      <c r="AX155" s="647"/>
      <c r="AY155" s="647"/>
      <c r="AZ155" s="647"/>
      <c r="BA155" s="647"/>
      <c r="BB155" s="647"/>
      <c r="BC155" s="647"/>
      <c r="BD155" s="647"/>
      <c r="BE155" s="647"/>
    </row>
    <row r="156" spans="1:57">
      <c r="A156" s="650" t="s">
        <v>113</v>
      </c>
      <c r="B156" s="651"/>
      <c r="C156" s="673"/>
      <c r="D156" s="674"/>
      <c r="E156" s="651"/>
      <c r="F156" s="651"/>
      <c r="G156" s="651"/>
      <c r="H156" s="651"/>
      <c r="I156" s="651"/>
      <c r="J156" s="651"/>
      <c r="K156" s="651"/>
      <c r="L156" s="651"/>
      <c r="M156" s="651"/>
      <c r="N156" s="651"/>
      <c r="O156" s="651"/>
      <c r="P156" s="651"/>
      <c r="Q156" s="651"/>
      <c r="R156" s="656"/>
      <c r="S156" s="656"/>
      <c r="T156" s="656"/>
      <c r="U156" s="656"/>
      <c r="V156" s="656"/>
      <c r="W156" s="656"/>
      <c r="X156" s="656"/>
      <c r="Y156" s="656"/>
      <c r="Z156" s="647"/>
      <c r="AA156" s="647"/>
      <c r="AB156" s="647"/>
      <c r="AC156" s="647"/>
      <c r="AD156" s="647"/>
      <c r="AE156" s="647"/>
      <c r="AF156" s="647"/>
      <c r="AG156" s="647"/>
      <c r="AH156" s="647"/>
      <c r="AI156" s="647"/>
      <c r="AJ156" s="647"/>
      <c r="AK156" s="647"/>
      <c r="AL156" s="647"/>
      <c r="AM156" s="647"/>
      <c r="AN156" s="647"/>
      <c r="AO156" s="647"/>
      <c r="AP156" s="647"/>
      <c r="AQ156" s="647"/>
      <c r="AR156" s="647"/>
      <c r="AS156" s="647"/>
      <c r="AT156" s="647"/>
      <c r="AU156" s="647"/>
      <c r="AV156" s="647"/>
      <c r="AW156" s="647"/>
      <c r="AX156" s="647"/>
      <c r="AY156" s="647"/>
      <c r="AZ156" s="647"/>
      <c r="BA156" s="647"/>
      <c r="BB156" s="647"/>
      <c r="BC156" s="647"/>
      <c r="BD156" s="647"/>
      <c r="BE156" s="647"/>
    </row>
    <row r="157" spans="1:57">
      <c r="A157" s="651" t="s">
        <v>1</v>
      </c>
      <c r="B157" s="659" t="s">
        <v>90</v>
      </c>
      <c r="C157" s="675">
        <f>+'data '!B9</f>
        <v>10771</v>
      </c>
      <c r="D157" s="676">
        <f>+'data '!C9</f>
        <v>10776</v>
      </c>
      <c r="E157" s="651"/>
      <c r="F157" s="651" t="s">
        <v>106</v>
      </c>
      <c r="G157" s="651"/>
      <c r="H157" s="651" t="s">
        <v>336</v>
      </c>
      <c r="I157" s="651"/>
      <c r="J157" s="651"/>
      <c r="K157" s="651"/>
      <c r="L157" s="651"/>
      <c r="M157" s="651"/>
      <c r="N157" s="651"/>
      <c r="O157" s="651"/>
      <c r="P157" s="651"/>
      <c r="Q157" s="651"/>
      <c r="R157" s="656"/>
      <c r="S157" s="656"/>
      <c r="T157" s="656"/>
      <c r="U157" s="656"/>
      <c r="V157" s="656"/>
      <c r="W157" s="656"/>
      <c r="X157" s="656"/>
      <c r="Y157" s="656"/>
      <c r="Z157" s="647"/>
      <c r="AA157" s="647"/>
      <c r="AB157" s="647"/>
      <c r="AC157" s="647"/>
      <c r="AD157" s="647"/>
      <c r="AE157" s="647"/>
      <c r="AF157" s="647"/>
      <c r="AG157" s="647"/>
      <c r="AH157" s="647"/>
      <c r="AI157" s="647"/>
      <c r="AJ157" s="647"/>
      <c r="AK157" s="647"/>
      <c r="AL157" s="647"/>
      <c r="AM157" s="647"/>
      <c r="AN157" s="647"/>
      <c r="AO157" s="647"/>
      <c r="AP157" s="647"/>
      <c r="AQ157" s="647"/>
      <c r="AR157" s="647"/>
      <c r="AS157" s="647"/>
      <c r="AT157" s="647"/>
      <c r="AU157" s="647"/>
      <c r="AV157" s="647"/>
      <c r="AW157" s="647"/>
      <c r="AX157" s="647"/>
      <c r="AY157" s="647"/>
      <c r="AZ157" s="647"/>
      <c r="BA157" s="647"/>
      <c r="BB157" s="647"/>
      <c r="BC157" s="647"/>
      <c r="BD157" s="647"/>
      <c r="BE157" s="647"/>
    </row>
    <row r="158" spans="1:57">
      <c r="A158" s="650" t="s">
        <v>114</v>
      </c>
      <c r="B158" s="651"/>
      <c r="C158" s="673"/>
      <c r="D158" s="674"/>
      <c r="E158" s="651"/>
      <c r="F158" s="650"/>
      <c r="G158" s="651"/>
      <c r="H158" s="651"/>
      <c r="I158" s="651"/>
      <c r="J158" s="651"/>
      <c r="K158" s="651"/>
      <c r="L158" s="651"/>
      <c r="M158" s="651"/>
      <c r="N158" s="651"/>
      <c r="O158" s="651"/>
      <c r="P158" s="651"/>
      <c r="Q158" s="651"/>
      <c r="R158" s="656"/>
      <c r="S158" s="656"/>
      <c r="T158" s="656"/>
      <c r="U158" s="656"/>
      <c r="V158" s="656"/>
      <c r="W158" s="656"/>
      <c r="X158" s="656"/>
      <c r="Y158" s="656"/>
      <c r="Z158" s="647"/>
      <c r="AA158" s="647"/>
      <c r="AB158" s="647"/>
      <c r="AC158" s="647"/>
      <c r="AD158" s="647"/>
      <c r="AE158" s="647"/>
      <c r="AF158" s="647"/>
      <c r="AG158" s="647"/>
      <c r="AH158" s="647"/>
      <c r="AI158" s="647"/>
      <c r="AJ158" s="647"/>
      <c r="AK158" s="647"/>
      <c r="AL158" s="647"/>
      <c r="AM158" s="647"/>
      <c r="AN158" s="647"/>
      <c r="AO158" s="647"/>
      <c r="AP158" s="647"/>
      <c r="AQ158" s="647"/>
      <c r="AR158" s="647"/>
      <c r="AS158" s="647"/>
      <c r="AT158" s="647"/>
      <c r="AU158" s="647"/>
      <c r="AV158" s="647"/>
      <c r="AW158" s="647"/>
      <c r="AX158" s="647"/>
      <c r="AY158" s="647"/>
      <c r="AZ158" s="647"/>
      <c r="BA158" s="647"/>
      <c r="BB158" s="647"/>
      <c r="BC158" s="647"/>
      <c r="BD158" s="647"/>
      <c r="BE158" s="647"/>
    </row>
    <row r="159" spans="1:57">
      <c r="A159" s="651" t="s">
        <v>89</v>
      </c>
      <c r="B159" s="659" t="s">
        <v>116</v>
      </c>
      <c r="C159" s="677">
        <v>0.71975189008997675</v>
      </c>
      <c r="D159" s="678">
        <v>0.7757153149499626</v>
      </c>
      <c r="E159" s="651"/>
      <c r="F159" s="651" t="s">
        <v>96</v>
      </c>
      <c r="G159" s="651"/>
      <c r="H159" s="651" t="s">
        <v>341</v>
      </c>
      <c r="I159" s="651"/>
      <c r="J159" s="651"/>
      <c r="K159" s="651"/>
      <c r="L159" s="651"/>
      <c r="M159" s="651"/>
      <c r="N159" s="651"/>
      <c r="O159" s="651"/>
      <c r="P159" s="651"/>
      <c r="Q159" s="651"/>
      <c r="R159" s="656"/>
      <c r="S159" s="656"/>
      <c r="T159" s="656"/>
      <c r="U159" s="656"/>
      <c r="V159" s="656"/>
      <c r="W159" s="656"/>
      <c r="X159" s="656"/>
      <c r="Y159" s="656"/>
      <c r="Z159" s="647"/>
      <c r="AA159" s="647"/>
      <c r="AB159" s="647"/>
      <c r="AC159" s="647"/>
      <c r="AD159" s="647"/>
      <c r="AE159" s="647"/>
      <c r="AF159" s="647"/>
      <c r="AG159" s="647"/>
      <c r="AH159" s="647"/>
      <c r="AI159" s="647"/>
      <c r="AJ159" s="647"/>
      <c r="AK159" s="647"/>
      <c r="AL159" s="647"/>
      <c r="AM159" s="647"/>
      <c r="AN159" s="647"/>
      <c r="AO159" s="647"/>
      <c r="AP159" s="647"/>
      <c r="AQ159" s="647"/>
      <c r="AR159" s="647"/>
      <c r="AS159" s="647"/>
      <c r="AT159" s="647"/>
      <c r="AU159" s="647"/>
      <c r="AV159" s="647"/>
      <c r="AW159" s="647"/>
      <c r="AX159" s="647"/>
      <c r="AY159" s="647"/>
      <c r="AZ159" s="647"/>
      <c r="BA159" s="647"/>
      <c r="BB159" s="647"/>
      <c r="BC159" s="647"/>
      <c r="BD159" s="647"/>
      <c r="BE159" s="647"/>
    </row>
    <row r="160" spans="1:57">
      <c r="A160" s="650" t="s">
        <v>118</v>
      </c>
      <c r="B160" s="651"/>
      <c r="C160" s="673"/>
      <c r="D160" s="674"/>
      <c r="E160" s="651"/>
      <c r="F160" s="650"/>
      <c r="G160" s="651"/>
      <c r="H160" s="651"/>
      <c r="I160" s="651"/>
      <c r="J160" s="651"/>
      <c r="K160" s="651"/>
      <c r="L160" s="651"/>
      <c r="M160" s="651"/>
      <c r="N160" s="651"/>
      <c r="O160" s="651"/>
      <c r="P160" s="651"/>
      <c r="Q160" s="651"/>
      <c r="R160" s="656"/>
      <c r="S160" s="656"/>
      <c r="T160" s="656"/>
      <c r="U160" s="656"/>
      <c r="V160" s="656"/>
      <c r="W160" s="656"/>
      <c r="X160" s="656"/>
      <c r="Y160" s="656"/>
      <c r="Z160" s="647"/>
      <c r="AA160" s="647"/>
      <c r="AB160" s="647"/>
      <c r="AC160" s="647"/>
      <c r="AD160" s="647"/>
      <c r="AE160" s="647"/>
      <c r="AF160" s="647"/>
      <c r="AG160" s="647"/>
      <c r="AH160" s="647"/>
      <c r="AI160" s="647"/>
      <c r="AJ160" s="647"/>
      <c r="AK160" s="647"/>
      <c r="AL160" s="647"/>
      <c r="AM160" s="647"/>
      <c r="AN160" s="647"/>
      <c r="AO160" s="647"/>
      <c r="AP160" s="647"/>
      <c r="AQ160" s="647"/>
      <c r="AR160" s="647"/>
      <c r="AS160" s="647"/>
      <c r="AT160" s="647"/>
      <c r="AU160" s="647"/>
      <c r="AV160" s="647"/>
      <c r="AW160" s="647"/>
      <c r="AX160" s="647"/>
      <c r="AY160" s="647"/>
      <c r="AZ160" s="647"/>
      <c r="BA160" s="647"/>
      <c r="BB160" s="647"/>
      <c r="BC160" s="647"/>
      <c r="BD160" s="647"/>
      <c r="BE160" s="647"/>
    </row>
    <row r="161" spans="1:57">
      <c r="A161" s="651" t="s">
        <v>104</v>
      </c>
      <c r="B161" s="659" t="s">
        <v>126</v>
      </c>
      <c r="C161" s="673">
        <v>61</v>
      </c>
      <c r="D161" s="674">
        <v>30</v>
      </c>
      <c r="E161" s="651"/>
      <c r="F161" s="651" t="s">
        <v>117</v>
      </c>
      <c r="G161" s="651"/>
      <c r="H161" s="651" t="s">
        <v>346</v>
      </c>
      <c r="I161" s="651"/>
      <c r="J161" s="651"/>
      <c r="K161" s="651"/>
      <c r="L161" s="651"/>
      <c r="M161" s="651"/>
      <c r="N161" s="651"/>
      <c r="O161" s="651"/>
      <c r="P161" s="651"/>
      <c r="Q161" s="651"/>
      <c r="R161" s="656"/>
      <c r="S161" s="656"/>
      <c r="T161" s="656"/>
      <c r="U161" s="656"/>
      <c r="V161" s="656"/>
      <c r="W161" s="656"/>
      <c r="X161" s="656"/>
      <c r="Y161" s="656"/>
      <c r="Z161" s="647"/>
      <c r="AA161" s="647"/>
      <c r="AB161" s="647"/>
      <c r="AC161" s="647"/>
      <c r="AD161" s="647"/>
      <c r="AE161" s="647"/>
      <c r="AF161" s="647"/>
      <c r="AG161" s="647"/>
      <c r="AH161" s="647"/>
      <c r="AI161" s="647"/>
      <c r="AJ161" s="647"/>
      <c r="AK161" s="647"/>
      <c r="AL161" s="647"/>
      <c r="AM161" s="647"/>
      <c r="AN161" s="647"/>
      <c r="AO161" s="647"/>
      <c r="AP161" s="647"/>
      <c r="AQ161" s="647"/>
      <c r="AR161" s="647"/>
      <c r="AS161" s="647"/>
      <c r="AT161" s="647"/>
      <c r="AU161" s="647"/>
      <c r="AV161" s="647"/>
      <c r="AW161" s="647"/>
      <c r="AX161" s="647"/>
      <c r="AY161" s="647"/>
      <c r="AZ161" s="647"/>
      <c r="BA161" s="647"/>
      <c r="BB161" s="647"/>
      <c r="BC161" s="647"/>
      <c r="BD161" s="647"/>
      <c r="BE161" s="647"/>
    </row>
    <row r="162" spans="1:57">
      <c r="A162" s="651"/>
      <c r="B162" s="659"/>
      <c r="C162" s="673"/>
      <c r="D162" s="674"/>
      <c r="E162" s="651"/>
      <c r="F162" s="651" t="s">
        <v>120</v>
      </c>
      <c r="G162" s="651"/>
      <c r="H162" s="651" t="s">
        <v>349</v>
      </c>
      <c r="I162" s="651"/>
      <c r="J162" s="651"/>
      <c r="K162" s="651"/>
      <c r="L162" s="651"/>
      <c r="M162" s="651"/>
      <c r="N162" s="651"/>
      <c r="O162" s="651"/>
      <c r="P162" s="651"/>
      <c r="Q162" s="651"/>
      <c r="R162" s="656"/>
      <c r="S162" s="656"/>
      <c r="T162" s="656"/>
      <c r="U162" s="656"/>
      <c r="V162" s="656"/>
      <c r="W162" s="656"/>
      <c r="X162" s="656"/>
      <c r="Y162" s="656"/>
      <c r="Z162" s="647"/>
      <c r="AA162" s="647"/>
      <c r="AB162" s="647"/>
      <c r="AC162" s="647"/>
      <c r="AD162" s="647"/>
      <c r="AE162" s="647"/>
      <c r="AF162" s="647"/>
      <c r="AG162" s="647"/>
      <c r="AH162" s="647"/>
      <c r="AI162" s="647"/>
      <c r="AJ162" s="647"/>
      <c r="AK162" s="647"/>
      <c r="AL162" s="647"/>
      <c r="AM162" s="647"/>
      <c r="AN162" s="647"/>
      <c r="AO162" s="647"/>
      <c r="AP162" s="647"/>
      <c r="AQ162" s="647"/>
      <c r="AR162" s="647"/>
      <c r="AS162" s="647"/>
      <c r="AT162" s="647"/>
      <c r="AU162" s="647"/>
      <c r="AV162" s="647"/>
      <c r="AW162" s="647"/>
      <c r="AX162" s="647"/>
      <c r="AY162" s="647"/>
      <c r="AZ162" s="647"/>
      <c r="BA162" s="647"/>
      <c r="BB162" s="647"/>
      <c r="BC162" s="647"/>
      <c r="BD162" s="647"/>
      <c r="BE162" s="647"/>
    </row>
    <row r="163" spans="1:57">
      <c r="A163" s="651"/>
      <c r="B163" s="659" t="s">
        <v>127</v>
      </c>
      <c r="C163" s="673">
        <v>1200</v>
      </c>
      <c r="D163" s="674">
        <v>1200</v>
      </c>
      <c r="E163" s="651"/>
      <c r="F163" s="651" t="s">
        <v>188</v>
      </c>
      <c r="G163" s="651"/>
      <c r="H163" s="651" t="s">
        <v>416</v>
      </c>
      <c r="I163" s="651"/>
      <c r="J163" s="651"/>
      <c r="K163" s="651"/>
      <c r="L163" s="651"/>
      <c r="M163" s="651"/>
      <c r="N163" s="651"/>
      <c r="O163" s="651"/>
      <c r="P163" s="651"/>
      <c r="Q163" s="651"/>
      <c r="R163" s="656"/>
      <c r="S163" s="656"/>
      <c r="T163" s="656"/>
      <c r="U163" s="656"/>
      <c r="V163" s="656"/>
      <c r="W163" s="656"/>
      <c r="X163" s="656"/>
      <c r="Y163" s="656"/>
      <c r="Z163" s="647"/>
      <c r="AA163" s="647"/>
      <c r="AB163" s="647"/>
      <c r="AC163" s="647"/>
      <c r="AD163" s="647"/>
      <c r="AE163" s="647"/>
      <c r="AF163" s="647"/>
      <c r="AG163" s="647"/>
      <c r="AH163" s="647"/>
      <c r="AI163" s="647"/>
      <c r="AJ163" s="647"/>
      <c r="AK163" s="647"/>
      <c r="AL163" s="647"/>
      <c r="AM163" s="647"/>
      <c r="AN163" s="647"/>
      <c r="AO163" s="647"/>
      <c r="AP163" s="647"/>
      <c r="AQ163" s="647"/>
      <c r="AR163" s="647"/>
      <c r="AS163" s="647"/>
      <c r="AT163" s="647"/>
      <c r="AU163" s="647"/>
      <c r="AV163" s="647"/>
      <c r="AW163" s="647"/>
      <c r="AX163" s="647"/>
      <c r="AY163" s="647"/>
      <c r="AZ163" s="647"/>
      <c r="BA163" s="647"/>
      <c r="BB163" s="647"/>
      <c r="BC163" s="647"/>
      <c r="BD163" s="647"/>
      <c r="BE163" s="647"/>
    </row>
    <row r="164" spans="1:57">
      <c r="A164" s="651" t="s">
        <v>189</v>
      </c>
      <c r="B164" s="659" t="s">
        <v>105</v>
      </c>
      <c r="C164" s="673">
        <v>174</v>
      </c>
      <c r="D164" s="679">
        <f>C164-(D155-C155)*1%*C164</f>
        <v>158.34</v>
      </c>
      <c r="E164" s="651"/>
      <c r="F164" s="651" t="s">
        <v>125</v>
      </c>
      <c r="G164" s="651"/>
      <c r="H164" s="651" t="s">
        <v>393</v>
      </c>
      <c r="I164" s="651"/>
      <c r="J164" s="651"/>
      <c r="K164" s="651"/>
      <c r="L164" s="651"/>
      <c r="M164" s="651"/>
      <c r="N164" s="651"/>
      <c r="O164" s="651"/>
      <c r="P164" s="651"/>
      <c r="Q164" s="651"/>
      <c r="R164" s="656"/>
      <c r="S164" s="656"/>
      <c r="T164" s="656"/>
      <c r="U164" s="656"/>
      <c r="V164" s="656"/>
      <c r="W164" s="656"/>
      <c r="X164" s="656"/>
      <c r="Y164" s="656"/>
      <c r="Z164" s="647"/>
      <c r="AA164" s="647"/>
      <c r="AB164" s="647"/>
      <c r="AC164" s="647"/>
      <c r="AD164" s="647"/>
      <c r="AE164" s="647"/>
      <c r="AF164" s="647"/>
      <c r="AG164" s="647"/>
      <c r="AH164" s="647"/>
      <c r="AI164" s="647"/>
      <c r="AJ164" s="647"/>
      <c r="AK164" s="647"/>
      <c r="AL164" s="647"/>
      <c r="AM164" s="647"/>
      <c r="AN164" s="647"/>
      <c r="AO164" s="647"/>
      <c r="AP164" s="647"/>
      <c r="AQ164" s="647"/>
      <c r="AR164" s="647"/>
      <c r="AS164" s="647"/>
      <c r="AT164" s="647"/>
      <c r="AU164" s="647"/>
      <c r="AV164" s="647"/>
      <c r="AW164" s="647"/>
      <c r="AX164" s="647"/>
      <c r="AY164" s="647"/>
      <c r="AZ164" s="647"/>
      <c r="BA164" s="647"/>
      <c r="BB164" s="647"/>
      <c r="BC164" s="647"/>
      <c r="BD164" s="647"/>
      <c r="BE164" s="647"/>
    </row>
    <row r="165" spans="1:57">
      <c r="A165" s="651" t="s">
        <v>110</v>
      </c>
      <c r="B165" s="651" t="s">
        <v>134</v>
      </c>
      <c r="C165" s="673"/>
      <c r="D165" s="674"/>
      <c r="E165" s="651"/>
      <c r="F165" s="651"/>
      <c r="G165" s="651"/>
      <c r="H165" s="651"/>
      <c r="I165" s="651"/>
      <c r="J165" s="651"/>
      <c r="K165" s="651"/>
      <c r="L165" s="651"/>
      <c r="M165" s="651"/>
      <c r="N165" s="651"/>
      <c r="O165" s="651"/>
      <c r="P165" s="651"/>
      <c r="Q165" s="651"/>
      <c r="R165" s="656"/>
      <c r="S165" s="656"/>
      <c r="T165" s="656"/>
      <c r="U165" s="656"/>
      <c r="V165" s="656"/>
      <c r="W165" s="656"/>
      <c r="X165" s="656"/>
      <c r="Y165" s="656"/>
      <c r="Z165" s="647"/>
      <c r="AA165" s="647"/>
      <c r="AB165" s="647"/>
      <c r="AC165" s="647"/>
      <c r="AD165" s="647"/>
      <c r="AE165" s="647"/>
      <c r="AF165" s="647"/>
      <c r="AG165" s="647"/>
      <c r="AH165" s="647"/>
      <c r="AI165" s="647"/>
      <c r="AJ165" s="647"/>
      <c r="AK165" s="647"/>
      <c r="AL165" s="647"/>
      <c r="AM165" s="647"/>
      <c r="AN165" s="647"/>
      <c r="AO165" s="647"/>
      <c r="AP165" s="647"/>
      <c r="AQ165" s="647"/>
      <c r="AR165" s="647"/>
      <c r="AS165" s="647"/>
      <c r="AT165" s="647"/>
      <c r="AU165" s="647"/>
      <c r="AV165" s="647"/>
      <c r="AW165" s="647"/>
      <c r="AX165" s="647"/>
      <c r="AY165" s="647"/>
      <c r="AZ165" s="647"/>
      <c r="BA165" s="647"/>
      <c r="BB165" s="647"/>
      <c r="BC165" s="647"/>
      <c r="BD165" s="647"/>
      <c r="BE165" s="647"/>
    </row>
    <row r="166" spans="1:57">
      <c r="A166" s="651"/>
      <c r="B166" s="659" t="s">
        <v>34</v>
      </c>
      <c r="C166" s="677">
        <v>0.94</v>
      </c>
      <c r="D166" s="678">
        <v>0.06</v>
      </c>
      <c r="E166" s="651"/>
      <c r="F166" s="651" t="s">
        <v>108</v>
      </c>
      <c r="G166" s="651"/>
      <c r="H166" s="651" t="s">
        <v>346</v>
      </c>
      <c r="I166" s="651"/>
      <c r="J166" s="651"/>
      <c r="K166" s="651"/>
      <c r="L166" s="651"/>
      <c r="M166" s="651"/>
      <c r="N166" s="651"/>
      <c r="O166" s="651"/>
      <c r="P166" s="651"/>
      <c r="Q166" s="651"/>
      <c r="R166" s="656"/>
      <c r="S166" s="656"/>
      <c r="T166" s="656"/>
      <c r="U166" s="656"/>
      <c r="V166" s="656"/>
      <c r="W166" s="656"/>
      <c r="X166" s="656"/>
      <c r="Y166" s="656"/>
      <c r="Z166" s="647"/>
      <c r="AA166" s="647"/>
      <c r="AB166" s="647"/>
      <c r="AC166" s="647"/>
      <c r="AD166" s="647"/>
      <c r="AE166" s="647"/>
      <c r="AF166" s="647"/>
      <c r="AG166" s="647"/>
      <c r="AH166" s="647"/>
      <c r="AI166" s="647"/>
      <c r="AJ166" s="647"/>
      <c r="AK166" s="647"/>
      <c r="AL166" s="647"/>
      <c r="AM166" s="647"/>
      <c r="AN166" s="647"/>
      <c r="AO166" s="647"/>
      <c r="AP166" s="647"/>
      <c r="AQ166" s="647"/>
      <c r="AR166" s="647"/>
      <c r="AS166" s="647"/>
      <c r="AT166" s="647"/>
      <c r="AU166" s="647"/>
      <c r="AV166" s="647"/>
      <c r="AW166" s="647"/>
      <c r="AX166" s="647"/>
      <c r="AY166" s="647"/>
      <c r="AZ166" s="647"/>
      <c r="BA166" s="647"/>
      <c r="BB166" s="647"/>
      <c r="BC166" s="647"/>
      <c r="BD166" s="647"/>
      <c r="BE166" s="647"/>
    </row>
    <row r="167" spans="1:57">
      <c r="A167" s="651"/>
      <c r="B167" s="659" t="s">
        <v>107</v>
      </c>
      <c r="C167" s="677">
        <v>0.06</v>
      </c>
      <c r="D167" s="678">
        <v>0.94</v>
      </c>
      <c r="E167" s="651"/>
      <c r="F167" s="651" t="s">
        <v>119</v>
      </c>
      <c r="G167" s="651"/>
      <c r="H167" s="651" t="s">
        <v>357</v>
      </c>
      <c r="I167" s="651"/>
      <c r="J167" s="651"/>
      <c r="K167" s="651"/>
      <c r="L167" s="651"/>
      <c r="M167" s="651"/>
      <c r="N167" s="651"/>
      <c r="O167" s="651"/>
      <c r="P167" s="651"/>
      <c r="Q167" s="651"/>
      <c r="R167" s="656"/>
      <c r="S167" s="656"/>
      <c r="T167" s="656"/>
      <c r="U167" s="656"/>
      <c r="V167" s="656"/>
      <c r="W167" s="656"/>
      <c r="X167" s="656"/>
      <c r="Y167" s="656"/>
      <c r="Z167" s="647"/>
      <c r="AA167" s="647"/>
      <c r="AB167" s="647"/>
      <c r="AC167" s="647"/>
      <c r="AD167" s="647"/>
      <c r="AE167" s="647"/>
      <c r="AF167" s="647"/>
      <c r="AG167" s="647"/>
      <c r="AH167" s="647"/>
      <c r="AI167" s="647"/>
      <c r="AJ167" s="647"/>
      <c r="AK167" s="647"/>
      <c r="AL167" s="647"/>
      <c r="AM167" s="647"/>
      <c r="AN167" s="647"/>
      <c r="AO167" s="647"/>
      <c r="AP167" s="647"/>
      <c r="AQ167" s="647"/>
      <c r="AR167" s="647"/>
      <c r="AS167" s="647"/>
      <c r="AT167" s="647"/>
      <c r="AU167" s="647"/>
      <c r="AV167" s="647"/>
      <c r="AW167" s="647"/>
      <c r="AX167" s="647"/>
      <c r="AY167" s="647"/>
      <c r="AZ167" s="647"/>
      <c r="BA167" s="647"/>
      <c r="BB167" s="647"/>
      <c r="BC167" s="647"/>
      <c r="BD167" s="647"/>
      <c r="BE167" s="647"/>
    </row>
    <row r="168" spans="1:57">
      <c r="A168" s="651"/>
      <c r="B168" s="651" t="s">
        <v>26</v>
      </c>
      <c r="C168" s="677">
        <v>0.06</v>
      </c>
      <c r="D168" s="678">
        <v>0.06</v>
      </c>
      <c r="E168" s="651"/>
      <c r="F168" s="651"/>
      <c r="G168" s="651"/>
      <c r="H168" s="651"/>
      <c r="I168" s="651"/>
      <c r="J168" s="651"/>
      <c r="K168" s="651"/>
      <c r="L168" s="651"/>
      <c r="M168" s="651"/>
      <c r="N168" s="651"/>
      <c r="O168" s="651"/>
      <c r="P168" s="651"/>
      <c r="Q168" s="651"/>
      <c r="R168" s="656"/>
      <c r="S168" s="656"/>
      <c r="T168" s="656"/>
      <c r="U168" s="656"/>
      <c r="V168" s="656"/>
      <c r="W168" s="656"/>
      <c r="X168" s="656"/>
      <c r="Y168" s="656"/>
      <c r="Z168" s="647"/>
      <c r="AA168" s="647"/>
      <c r="AB168" s="647"/>
      <c r="AC168" s="647"/>
      <c r="AD168" s="647"/>
      <c r="AE168" s="647"/>
      <c r="AF168" s="647"/>
      <c r="AG168" s="647"/>
      <c r="AH168" s="647"/>
      <c r="AI168" s="647"/>
      <c r="AJ168" s="647"/>
      <c r="AK168" s="647"/>
      <c r="AL168" s="647"/>
      <c r="AM168" s="647"/>
      <c r="AN168" s="647"/>
      <c r="AO168" s="647"/>
      <c r="AP168" s="647"/>
      <c r="AQ168" s="647"/>
      <c r="AR168" s="647"/>
      <c r="AS168" s="647"/>
      <c r="AT168" s="647"/>
      <c r="AU168" s="647"/>
      <c r="AV168" s="647"/>
      <c r="AW168" s="647"/>
      <c r="AX168" s="647"/>
      <c r="AY168" s="647"/>
      <c r="AZ168" s="647"/>
      <c r="BA168" s="647"/>
      <c r="BB168" s="647"/>
      <c r="BC168" s="647"/>
      <c r="BD168" s="647"/>
      <c r="BE168" s="647"/>
    </row>
    <row r="169" spans="1:57">
      <c r="A169" s="680" t="s">
        <v>124</v>
      </c>
      <c r="B169" s="681" t="s">
        <v>128</v>
      </c>
      <c r="C169" s="682">
        <f>C166*88%+C167*320%</f>
        <v>1.0191999999999999</v>
      </c>
      <c r="D169" s="683">
        <f>D166*88%+D167*320%</f>
        <v>3.0608</v>
      </c>
      <c r="E169" s="651"/>
      <c r="F169" s="651" t="s">
        <v>194</v>
      </c>
      <c r="G169" s="651"/>
      <c r="H169" s="651" t="s">
        <v>363</v>
      </c>
      <c r="I169" s="651"/>
      <c r="J169" s="651"/>
      <c r="K169" s="651"/>
      <c r="L169" s="651"/>
      <c r="M169" s="651"/>
      <c r="N169" s="651"/>
      <c r="O169" s="651"/>
      <c r="P169" s="651"/>
      <c r="Q169" s="651"/>
      <c r="R169" s="656"/>
      <c r="S169" s="656"/>
      <c r="T169" s="656"/>
      <c r="U169" s="656"/>
      <c r="V169" s="656"/>
      <c r="W169" s="656"/>
      <c r="X169" s="656"/>
      <c r="Y169" s="656"/>
      <c r="Z169" s="647"/>
      <c r="AA169" s="647"/>
      <c r="AB169" s="647"/>
      <c r="AC169" s="647"/>
      <c r="AD169" s="647"/>
      <c r="AE169" s="647"/>
      <c r="AF169" s="647"/>
      <c r="AG169" s="647"/>
      <c r="AH169" s="647"/>
      <c r="AI169" s="647"/>
      <c r="AJ169" s="647"/>
      <c r="AK169" s="647"/>
      <c r="AL169" s="647"/>
      <c r="AM169" s="647"/>
      <c r="AN169" s="647"/>
      <c r="AO169" s="647"/>
      <c r="AP169" s="647"/>
      <c r="AQ169" s="647"/>
      <c r="AR169" s="647"/>
      <c r="AS169" s="647"/>
      <c r="AT169" s="647"/>
      <c r="AU169" s="647"/>
      <c r="AV169" s="647"/>
      <c r="AW169" s="647"/>
      <c r="AX169" s="647"/>
      <c r="AY169" s="647"/>
      <c r="AZ169" s="647"/>
      <c r="BA169" s="647"/>
      <c r="BB169" s="647"/>
      <c r="BC169" s="647"/>
      <c r="BD169" s="647"/>
      <c r="BE169" s="647"/>
    </row>
    <row r="170" spans="1:57">
      <c r="A170" s="680" t="s">
        <v>190</v>
      </c>
      <c r="B170" s="681" t="s">
        <v>193</v>
      </c>
      <c r="C170" s="684">
        <f>C168*C163*60%</f>
        <v>43.199999999999996</v>
      </c>
      <c r="D170" s="685">
        <f>D168*D163*60%</f>
        <v>43.199999999999996</v>
      </c>
      <c r="E170" s="651"/>
      <c r="F170" s="651" t="s">
        <v>191</v>
      </c>
      <c r="G170" s="651"/>
      <c r="H170" s="651" t="s">
        <v>414</v>
      </c>
      <c r="I170" s="651"/>
      <c r="J170" s="651"/>
      <c r="K170" s="651"/>
      <c r="L170" s="651"/>
      <c r="M170" s="651"/>
      <c r="N170" s="651"/>
      <c r="O170" s="651"/>
      <c r="P170" s="651"/>
      <c r="Q170" s="651"/>
      <c r="R170" s="656"/>
      <c r="S170" s="656"/>
      <c r="T170" s="656"/>
      <c r="U170" s="656"/>
      <c r="V170" s="656"/>
      <c r="W170" s="656"/>
      <c r="X170" s="656"/>
      <c r="Y170" s="656"/>
      <c r="Z170" s="647"/>
      <c r="AA170" s="647"/>
      <c r="AB170" s="647"/>
      <c r="AC170" s="647"/>
      <c r="AD170" s="647"/>
      <c r="AE170" s="647"/>
      <c r="AF170" s="647"/>
      <c r="AG170" s="647"/>
      <c r="AH170" s="647"/>
      <c r="AI170" s="647"/>
      <c r="AJ170" s="647"/>
      <c r="AK170" s="647"/>
      <c r="AL170" s="647"/>
      <c r="AM170" s="647"/>
      <c r="AN170" s="647"/>
      <c r="AO170" s="647"/>
      <c r="AP170" s="647"/>
      <c r="AQ170" s="647"/>
      <c r="AR170" s="647"/>
      <c r="AS170" s="647"/>
      <c r="AT170" s="647"/>
      <c r="AU170" s="647"/>
      <c r="AV170" s="647"/>
      <c r="AW170" s="647"/>
      <c r="AX170" s="647"/>
      <c r="AY170" s="647"/>
      <c r="AZ170" s="647"/>
      <c r="BA170" s="647"/>
      <c r="BB170" s="647"/>
      <c r="BC170" s="647"/>
      <c r="BD170" s="647"/>
      <c r="BE170" s="647"/>
    </row>
    <row r="171" spans="1:57">
      <c r="A171" s="650" t="s">
        <v>115</v>
      </c>
      <c r="B171" s="659"/>
      <c r="C171" s="673"/>
      <c r="D171" s="674"/>
      <c r="E171" s="651"/>
      <c r="F171" s="650"/>
      <c r="G171" s="651"/>
      <c r="H171" s="651"/>
      <c r="I171" s="651"/>
      <c r="J171" s="651"/>
      <c r="K171" s="651"/>
      <c r="L171" s="651"/>
      <c r="M171" s="651"/>
      <c r="N171" s="651"/>
      <c r="O171" s="651"/>
      <c r="P171" s="651"/>
      <c r="Q171" s="651"/>
      <c r="R171" s="656"/>
      <c r="S171" s="656"/>
      <c r="T171" s="656"/>
      <c r="U171" s="656"/>
      <c r="V171" s="656"/>
      <c r="W171" s="656"/>
      <c r="X171" s="656"/>
      <c r="Y171" s="656"/>
      <c r="Z171" s="647"/>
      <c r="AA171" s="647"/>
      <c r="AB171" s="647"/>
      <c r="AC171" s="647"/>
      <c r="AD171" s="647"/>
      <c r="AE171" s="647"/>
      <c r="AF171" s="647"/>
      <c r="AG171" s="647"/>
      <c r="AH171" s="647"/>
      <c r="AI171" s="647"/>
      <c r="AJ171" s="647"/>
      <c r="AK171" s="647"/>
      <c r="AL171" s="647"/>
      <c r="AM171" s="647"/>
      <c r="AN171" s="647"/>
      <c r="AO171" s="647"/>
      <c r="AP171" s="647"/>
      <c r="AQ171" s="647"/>
      <c r="AR171" s="647"/>
      <c r="AS171" s="647"/>
      <c r="AT171" s="647"/>
      <c r="AU171" s="647"/>
      <c r="AV171" s="647"/>
      <c r="AW171" s="647"/>
      <c r="AX171" s="647"/>
      <c r="AY171" s="647"/>
      <c r="AZ171" s="647"/>
      <c r="BA171" s="647"/>
      <c r="BB171" s="647"/>
      <c r="BC171" s="647"/>
      <c r="BD171" s="647"/>
      <c r="BE171" s="647"/>
    </row>
    <row r="172" spans="1:57">
      <c r="A172" s="651" t="s">
        <v>123</v>
      </c>
      <c r="B172" s="659"/>
      <c r="C172" s="686">
        <v>0</v>
      </c>
      <c r="D172" s="687">
        <f>(D155-C155)*0.5%</f>
        <v>4.4999999999999998E-2</v>
      </c>
      <c r="E172" s="651"/>
      <c r="F172" s="651" t="s">
        <v>122</v>
      </c>
      <c r="G172" s="651"/>
      <c r="H172" s="651" t="s">
        <v>413</v>
      </c>
      <c r="I172" s="651"/>
      <c r="J172" s="651"/>
      <c r="K172" s="651"/>
      <c r="L172" s="651"/>
      <c r="M172" s="651"/>
      <c r="N172" s="651"/>
      <c r="O172" s="651"/>
      <c r="P172" s="651"/>
      <c r="Q172" s="651"/>
      <c r="R172" s="656"/>
      <c r="S172" s="656"/>
      <c r="T172" s="656"/>
      <c r="U172" s="656"/>
      <c r="V172" s="656"/>
      <c r="W172" s="656"/>
      <c r="X172" s="656"/>
      <c r="Y172" s="656"/>
      <c r="Z172" s="647"/>
      <c r="AA172" s="647"/>
      <c r="AB172" s="647"/>
      <c r="AC172" s="647"/>
      <c r="AD172" s="647"/>
      <c r="AE172" s="647"/>
      <c r="AF172" s="647"/>
      <c r="AG172" s="647"/>
      <c r="AH172" s="647"/>
      <c r="AI172" s="647"/>
      <c r="AJ172" s="647"/>
      <c r="AK172" s="647"/>
      <c r="AL172" s="647"/>
      <c r="AM172" s="647"/>
      <c r="AN172" s="647"/>
      <c r="AO172" s="647"/>
      <c r="AP172" s="647"/>
      <c r="AQ172" s="647"/>
      <c r="AR172" s="647"/>
      <c r="AS172" s="647"/>
      <c r="AT172" s="647"/>
      <c r="AU172" s="647"/>
      <c r="AV172" s="647"/>
      <c r="AW172" s="647"/>
      <c r="AX172" s="647"/>
      <c r="AY172" s="647"/>
      <c r="AZ172" s="647"/>
      <c r="BA172" s="647"/>
      <c r="BB172" s="647"/>
      <c r="BC172" s="647"/>
      <c r="BD172" s="647"/>
      <c r="BE172" s="647"/>
    </row>
    <row r="173" spans="1:57">
      <c r="A173" s="650" t="s">
        <v>130</v>
      </c>
      <c r="B173" s="659"/>
      <c r="C173" s="659"/>
      <c r="D173" s="657"/>
      <c r="E173" s="651"/>
      <c r="F173" s="688"/>
      <c r="G173" s="651"/>
      <c r="H173" s="651"/>
      <c r="I173" s="651"/>
      <c r="J173" s="651"/>
      <c r="K173" s="651"/>
      <c r="L173" s="651"/>
      <c r="M173" s="651"/>
      <c r="N173" s="651"/>
      <c r="O173" s="651"/>
      <c r="P173" s="651"/>
      <c r="Q173" s="651"/>
      <c r="R173" s="656"/>
      <c r="S173" s="656"/>
      <c r="T173" s="656"/>
      <c r="U173" s="656"/>
      <c r="V173" s="656"/>
      <c r="W173" s="656"/>
      <c r="X173" s="656"/>
      <c r="Y173" s="656"/>
      <c r="Z173" s="647"/>
      <c r="AA173" s="647"/>
      <c r="AB173" s="647"/>
      <c r="AC173" s="647"/>
      <c r="AD173" s="647"/>
      <c r="AE173" s="647"/>
      <c r="AF173" s="647"/>
      <c r="AG173" s="647"/>
      <c r="AH173" s="647"/>
      <c r="AI173" s="647"/>
      <c r="AJ173" s="647"/>
      <c r="AK173" s="647"/>
      <c r="AL173" s="647"/>
      <c r="AM173" s="647"/>
      <c r="AN173" s="647"/>
      <c r="AO173" s="647"/>
      <c r="AP173" s="647"/>
      <c r="AQ173" s="647"/>
      <c r="AR173" s="647"/>
      <c r="AS173" s="647"/>
      <c r="AT173" s="647"/>
      <c r="AU173" s="647"/>
      <c r="AV173" s="647"/>
      <c r="AW173" s="647"/>
      <c r="AX173" s="647"/>
      <c r="AY173" s="647"/>
      <c r="AZ173" s="647"/>
      <c r="BA173" s="647"/>
      <c r="BB173" s="647"/>
      <c r="BC173" s="647"/>
      <c r="BD173" s="647"/>
      <c r="BE173" s="647"/>
    </row>
    <row r="174" spans="1:57">
      <c r="A174" s="651" t="s">
        <v>131</v>
      </c>
      <c r="B174" s="659"/>
      <c r="C174" s="689"/>
      <c r="D174" s="689"/>
      <c r="E174" s="651"/>
      <c r="F174" s="651"/>
      <c r="G174" s="651"/>
      <c r="H174" s="651"/>
      <c r="I174" s="651"/>
      <c r="J174" s="651"/>
      <c r="K174" s="651"/>
      <c r="L174" s="651"/>
      <c r="M174" s="651"/>
      <c r="N174" s="651"/>
      <c r="O174" s="651"/>
      <c r="P174" s="651"/>
      <c r="Q174" s="651"/>
      <c r="R174" s="656"/>
      <c r="S174" s="656"/>
      <c r="T174" s="656"/>
      <c r="U174" s="656"/>
      <c r="V174" s="656"/>
      <c r="W174" s="656"/>
      <c r="X174" s="656"/>
      <c r="Y174" s="656"/>
      <c r="Z174" s="647"/>
      <c r="AA174" s="647"/>
      <c r="AB174" s="647"/>
      <c r="AC174" s="647"/>
      <c r="AD174" s="647"/>
      <c r="AE174" s="647"/>
      <c r="AF174" s="647"/>
      <c r="AG174" s="647"/>
      <c r="AH174" s="647"/>
      <c r="AI174" s="647"/>
      <c r="AJ174" s="647"/>
      <c r="AK174" s="647"/>
      <c r="AL174" s="647"/>
      <c r="AM174" s="647"/>
      <c r="AN174" s="647"/>
      <c r="AO174" s="647"/>
      <c r="AP174" s="647"/>
      <c r="AQ174" s="647"/>
      <c r="AR174" s="647"/>
      <c r="AS174" s="647"/>
      <c r="AT174" s="647"/>
      <c r="AU174" s="647"/>
      <c r="AV174" s="647"/>
      <c r="AW174" s="647"/>
      <c r="AX174" s="647"/>
      <c r="AY174" s="647"/>
      <c r="AZ174" s="647"/>
      <c r="BA174" s="647"/>
      <c r="BB174" s="647"/>
      <c r="BC174" s="647"/>
      <c r="BD174" s="647"/>
      <c r="BE174" s="647"/>
    </row>
    <row r="175" spans="1:57">
      <c r="A175" s="651" t="s">
        <v>192</v>
      </c>
      <c r="B175" s="651"/>
      <c r="C175" s="651"/>
      <c r="D175" s="651"/>
      <c r="E175" s="651"/>
      <c r="F175" s="651"/>
      <c r="G175" s="651"/>
      <c r="H175" s="651"/>
      <c r="I175" s="651"/>
      <c r="J175" s="651"/>
      <c r="K175" s="651"/>
      <c r="L175" s="651"/>
      <c r="M175" s="651"/>
      <c r="N175" s="651"/>
      <c r="O175" s="651"/>
      <c r="P175" s="651"/>
      <c r="Q175" s="651"/>
      <c r="R175" s="656"/>
      <c r="S175" s="656"/>
      <c r="T175" s="656"/>
      <c r="U175" s="656"/>
      <c r="V175" s="656"/>
      <c r="W175" s="656"/>
      <c r="X175" s="656"/>
      <c r="Y175" s="656"/>
      <c r="Z175" s="647"/>
      <c r="AA175" s="647"/>
      <c r="AB175" s="647"/>
      <c r="AC175" s="647"/>
      <c r="AD175" s="647"/>
      <c r="AE175" s="647"/>
      <c r="AF175" s="647"/>
      <c r="AG175" s="647"/>
      <c r="AH175" s="647"/>
      <c r="AI175" s="647"/>
      <c r="AJ175" s="647"/>
      <c r="AK175" s="647"/>
      <c r="AL175" s="647"/>
      <c r="AM175" s="647"/>
      <c r="AN175" s="647"/>
      <c r="AO175" s="647"/>
      <c r="AP175" s="647"/>
      <c r="AQ175" s="647"/>
      <c r="AR175" s="647"/>
      <c r="AS175" s="647"/>
      <c r="AT175" s="647"/>
      <c r="AU175" s="647"/>
      <c r="AV175" s="647"/>
      <c r="AW175" s="647"/>
      <c r="AX175" s="647"/>
      <c r="AY175" s="647"/>
      <c r="AZ175" s="647"/>
      <c r="BA175" s="647"/>
      <c r="BB175" s="647"/>
      <c r="BC175" s="647"/>
      <c r="BD175" s="647"/>
      <c r="BE175" s="647"/>
    </row>
    <row r="176" spans="1:57">
      <c r="R176" s="647"/>
      <c r="S176" s="647"/>
      <c r="T176" s="647"/>
      <c r="U176" s="647"/>
      <c r="V176" s="647"/>
      <c r="W176" s="647"/>
      <c r="X176" s="647"/>
      <c r="Y176" s="647"/>
      <c r="Z176" s="647"/>
      <c r="AA176" s="647"/>
      <c r="AB176" s="647"/>
      <c r="AC176" s="647"/>
      <c r="AD176" s="647"/>
      <c r="AE176" s="647"/>
      <c r="AF176" s="647"/>
      <c r="AG176" s="647"/>
      <c r="AH176" s="647"/>
      <c r="AI176" s="647"/>
      <c r="AJ176" s="647"/>
      <c r="AK176" s="647"/>
      <c r="AL176" s="647"/>
      <c r="AM176" s="647"/>
      <c r="AN176" s="647"/>
      <c r="AO176" s="647"/>
      <c r="AP176" s="647"/>
      <c r="AQ176" s="647"/>
      <c r="AR176" s="647"/>
      <c r="AS176" s="647"/>
      <c r="AT176" s="647"/>
      <c r="AU176" s="647"/>
      <c r="AV176" s="647"/>
      <c r="AW176" s="647"/>
      <c r="AX176" s="647"/>
      <c r="AY176" s="647"/>
      <c r="AZ176" s="647"/>
      <c r="BA176" s="647"/>
      <c r="BB176" s="647"/>
      <c r="BC176" s="647"/>
      <c r="BD176" s="647"/>
      <c r="BE176" s="647"/>
    </row>
    <row r="177" spans="1:57">
      <c r="A177" s="774" t="s">
        <v>48</v>
      </c>
      <c r="B177" s="775" t="s">
        <v>714</v>
      </c>
      <c r="C177" s="775"/>
      <c r="D177" s="775"/>
      <c r="E177" s="775"/>
      <c r="F177" s="775"/>
      <c r="G177" s="775"/>
      <c r="H177" s="775"/>
      <c r="I177" s="775"/>
      <c r="J177" s="775"/>
      <c r="K177" s="775"/>
      <c r="L177" s="775"/>
      <c r="M177" s="775"/>
      <c r="N177" s="775"/>
      <c r="O177" s="775"/>
      <c r="P177" s="775"/>
      <c r="Q177" s="775"/>
      <c r="R177" s="647"/>
      <c r="S177" s="647"/>
      <c r="T177" s="647"/>
      <c r="U177" s="647"/>
      <c r="V177" s="647"/>
      <c r="W177" s="647"/>
      <c r="X177" s="647"/>
      <c r="Y177" s="647"/>
      <c r="Z177" s="647"/>
      <c r="AA177" s="647"/>
      <c r="AB177" s="647"/>
      <c r="AC177" s="647"/>
      <c r="AD177" s="647"/>
      <c r="AE177" s="647"/>
      <c r="AF177" s="647"/>
      <c r="AG177" s="647"/>
      <c r="AH177" s="647"/>
      <c r="AI177" s="647"/>
      <c r="AJ177" s="647"/>
      <c r="AK177" s="647"/>
      <c r="AL177" s="647"/>
      <c r="AM177" s="647"/>
      <c r="AN177" s="647"/>
      <c r="AO177" s="647"/>
      <c r="AP177" s="647"/>
      <c r="AQ177" s="647"/>
      <c r="AR177" s="647"/>
      <c r="AS177" s="647"/>
      <c r="AT177" s="647"/>
      <c r="AU177" s="647"/>
      <c r="AV177" s="647"/>
      <c r="AW177" s="647"/>
      <c r="AX177" s="647"/>
      <c r="AY177" s="647"/>
      <c r="AZ177" s="647"/>
      <c r="BA177" s="647"/>
      <c r="BB177" s="647"/>
      <c r="BC177" s="647"/>
      <c r="BD177" s="647"/>
      <c r="BE177" s="647"/>
    </row>
    <row r="178" spans="1:57" ht="16.5" customHeight="1">
      <c r="A178" s="774"/>
      <c r="B178" s="776" t="s">
        <v>2</v>
      </c>
      <c r="C178" s="776" t="s">
        <v>31</v>
      </c>
      <c r="D178" s="776" t="s">
        <v>32</v>
      </c>
      <c r="E178" s="776"/>
      <c r="F178" s="776"/>
      <c r="G178" s="776"/>
      <c r="H178" s="776"/>
      <c r="I178" s="776"/>
      <c r="J178" s="776"/>
      <c r="K178" s="776"/>
      <c r="L178" s="776" t="s">
        <v>33</v>
      </c>
      <c r="M178" s="776"/>
      <c r="N178" s="776"/>
      <c r="O178" s="776"/>
      <c r="P178" s="776"/>
      <c r="Q178" s="776" t="s">
        <v>27</v>
      </c>
      <c r="R178" s="647"/>
      <c r="S178" s="647"/>
      <c r="T178" s="647"/>
      <c r="U178" s="647"/>
      <c r="V178" s="647"/>
      <c r="W178" s="647"/>
      <c r="X178" s="647"/>
      <c r="Y178" s="647"/>
      <c r="Z178" s="647"/>
      <c r="AA178" s="647"/>
      <c r="AB178" s="647"/>
      <c r="AC178" s="647"/>
      <c r="AD178" s="647"/>
      <c r="AE178" s="647"/>
      <c r="AF178" s="647"/>
      <c r="AG178" s="647"/>
      <c r="AH178" s="647"/>
      <c r="AI178" s="647"/>
      <c r="AJ178" s="647"/>
      <c r="AK178" s="647"/>
      <c r="AL178" s="647"/>
      <c r="AM178" s="647"/>
      <c r="AN178" s="647"/>
      <c r="AO178" s="647"/>
      <c r="AP178" s="647"/>
      <c r="AQ178" s="647"/>
      <c r="AR178" s="647"/>
      <c r="AS178" s="647"/>
      <c r="AT178" s="647"/>
      <c r="AU178" s="647"/>
      <c r="AV178" s="647"/>
      <c r="AW178" s="647"/>
      <c r="AX178" s="647"/>
      <c r="AY178" s="647"/>
      <c r="AZ178" s="647"/>
      <c r="BA178" s="647"/>
      <c r="BB178" s="647"/>
      <c r="BC178" s="647"/>
      <c r="BD178" s="647"/>
      <c r="BE178" s="647"/>
    </row>
    <row r="179" spans="1:57" ht="45">
      <c r="A179" s="774"/>
      <c r="B179" s="776"/>
      <c r="C179" s="776"/>
      <c r="D179" s="662" t="s">
        <v>34</v>
      </c>
      <c r="E179" s="662" t="s">
        <v>35</v>
      </c>
      <c r="F179" s="662" t="s">
        <v>36</v>
      </c>
      <c r="G179" s="662" t="s">
        <v>37</v>
      </c>
      <c r="H179" s="662" t="s">
        <v>29</v>
      </c>
      <c r="I179" s="662" t="s">
        <v>38</v>
      </c>
      <c r="J179" s="662" t="s">
        <v>39</v>
      </c>
      <c r="K179" s="662" t="s">
        <v>40</v>
      </c>
      <c r="L179" s="662" t="s">
        <v>41</v>
      </c>
      <c r="M179" s="662" t="s">
        <v>42</v>
      </c>
      <c r="N179" s="662" t="s">
        <v>43</v>
      </c>
      <c r="O179" s="662" t="s">
        <v>44</v>
      </c>
      <c r="P179" s="662" t="s">
        <v>45</v>
      </c>
      <c r="Q179" s="776"/>
      <c r="R179" s="647"/>
      <c r="S179" s="647"/>
      <c r="T179" s="647"/>
      <c r="U179" s="647"/>
      <c r="V179" s="647"/>
      <c r="W179" s="647"/>
      <c r="X179" s="647"/>
      <c r="Y179" s="647"/>
      <c r="Z179" s="647"/>
      <c r="AA179" s="647"/>
      <c r="AB179" s="647"/>
      <c r="AC179" s="647"/>
      <c r="AD179" s="647"/>
      <c r="AE179" s="647"/>
      <c r="AF179" s="647"/>
      <c r="AG179" s="647"/>
      <c r="AH179" s="647"/>
      <c r="AI179" s="647"/>
      <c r="AJ179" s="647"/>
      <c r="AK179" s="647"/>
      <c r="AL179" s="647"/>
      <c r="AM179" s="647"/>
      <c r="AN179" s="647"/>
      <c r="AO179" s="647"/>
      <c r="AP179" s="647"/>
      <c r="AQ179" s="647"/>
      <c r="AR179" s="647"/>
      <c r="AS179" s="647"/>
      <c r="AT179" s="647"/>
      <c r="AU179" s="647"/>
      <c r="AV179" s="647"/>
      <c r="AW179" s="647"/>
      <c r="AX179" s="647"/>
      <c r="AY179" s="647"/>
      <c r="AZ179" s="647"/>
      <c r="BA179" s="647"/>
      <c r="BB179" s="647"/>
      <c r="BC179" s="647"/>
      <c r="BD179" s="647"/>
      <c r="BE179" s="647"/>
    </row>
    <row r="180" spans="1:57">
      <c r="A180" s="663" t="s">
        <v>129</v>
      </c>
      <c r="B180" s="663">
        <f>B145*$C$159/$D$159</f>
        <v>31808.974810137737</v>
      </c>
      <c r="C180" s="663">
        <f>C145*$C$159/$D$159</f>
        <v>0</v>
      </c>
      <c r="D180" s="663">
        <f>D145*$C$159/$D$159</f>
        <v>133817.67183871471</v>
      </c>
      <c r="E180" s="663">
        <f t="shared" ref="E180:N180" si="6">E145*$C$159/$D$159</f>
        <v>754.43689049570253</v>
      </c>
      <c r="F180" s="663">
        <f t="shared" si="6"/>
        <v>13765.16996488995</v>
      </c>
      <c r="G180" s="663">
        <f t="shared" si="6"/>
        <v>0</v>
      </c>
      <c r="H180" s="663">
        <f t="shared" si="6"/>
        <v>0</v>
      </c>
      <c r="I180" s="663">
        <f t="shared" si="6"/>
        <v>0</v>
      </c>
      <c r="J180" s="663">
        <f t="shared" si="6"/>
        <v>0</v>
      </c>
      <c r="K180" s="663">
        <f t="shared" si="6"/>
        <v>0</v>
      </c>
      <c r="L180" s="663">
        <f t="shared" si="6"/>
        <v>0</v>
      </c>
      <c r="M180" s="663">
        <f t="shared" si="6"/>
        <v>0</v>
      </c>
      <c r="N180" s="663">
        <f t="shared" si="6"/>
        <v>4502.1169728849445</v>
      </c>
      <c r="O180" s="663">
        <f>O145</f>
        <v>98.386065778066751</v>
      </c>
      <c r="P180" s="665">
        <f>P145</f>
        <v>0</v>
      </c>
      <c r="Q180" s="663">
        <f>SUM(B180:P180)</f>
        <v>184746.7565429011</v>
      </c>
      <c r="R180" s="690"/>
      <c r="S180" s="690"/>
      <c r="T180" s="647"/>
      <c r="U180" s="647"/>
      <c r="V180" s="647"/>
      <c r="W180" s="647"/>
      <c r="X180" s="647"/>
      <c r="Y180" s="647"/>
      <c r="Z180" s="647"/>
      <c r="AA180" s="647"/>
      <c r="AB180" s="647"/>
      <c r="AC180" s="647"/>
      <c r="AD180" s="647"/>
      <c r="AE180" s="647"/>
      <c r="AF180" s="647"/>
      <c r="AG180" s="647"/>
      <c r="AH180" s="647"/>
      <c r="AI180" s="647"/>
      <c r="AJ180" s="647"/>
      <c r="AK180" s="647"/>
      <c r="AL180" s="647"/>
      <c r="AM180" s="647"/>
      <c r="AN180" s="647"/>
      <c r="AO180" s="647"/>
      <c r="AP180" s="647"/>
      <c r="AQ180" s="647"/>
      <c r="AR180" s="647"/>
      <c r="AS180" s="647"/>
      <c r="AT180" s="647"/>
      <c r="AU180" s="647"/>
      <c r="AV180" s="647"/>
      <c r="AW180" s="647"/>
      <c r="AX180" s="647"/>
      <c r="AY180" s="647"/>
      <c r="AZ180" s="647"/>
      <c r="BA180" s="647"/>
      <c r="BB180" s="647"/>
      <c r="BC180" s="647"/>
      <c r="BD180" s="647"/>
      <c r="BE180" s="647"/>
    </row>
    <row r="181" spans="1:57">
      <c r="A181" s="663" t="s">
        <v>132</v>
      </c>
      <c r="B181" s="665">
        <f>AVERAGE($C$167:$D$167)*($D$157-$C$157)*(AVERAGE($C$164:$D$164)*AVERAGE($C$161:$D$161)+AVERAGE($C$163:$D$163))/320%/1000-AVERAGE($C$170:$D$170)*($D$157-$C$157)*AVERAGE($C$167:$D$167)/320%/1000</f>
        <v>6.8105742187499994</v>
      </c>
      <c r="C181" s="663"/>
      <c r="D181" s="663">
        <f>AVERAGE($C$166:$D$166)*($D$157-$C$157)*(AVERAGE($C$164:$D$164)*AVERAGE($C$161:$D$161)+AVERAGE($C$163:$D$163))/88%/1000-AVERAGE($C$170:$D$170)*($D$157-$C$157)*AVERAGE($C$166:$D$166)/88%/1000</f>
        <v>24.765724431818185</v>
      </c>
      <c r="E181" s="663"/>
      <c r="F181" s="663"/>
      <c r="G181" s="663"/>
      <c r="H181" s="663"/>
      <c r="I181" s="663"/>
      <c r="J181" s="663"/>
      <c r="K181" s="663"/>
      <c r="L181" s="663"/>
      <c r="M181" s="663"/>
      <c r="N181" s="663"/>
      <c r="O181" s="663">
        <f>AVERAGE(C170:D170)*(D157-C157)/1000</f>
        <v>0.21599999999999997</v>
      </c>
      <c r="P181" s="663">
        <f>B181*(320%-100%)</f>
        <v>14.98326328125</v>
      </c>
      <c r="Q181" s="663">
        <f>SUM(B181:P181)</f>
        <v>46.775561931818189</v>
      </c>
      <c r="R181" s="647"/>
      <c r="S181" s="647"/>
      <c r="T181" s="647"/>
      <c r="U181" s="647"/>
      <c r="V181" s="647"/>
      <c r="W181" s="647"/>
      <c r="X181" s="647"/>
      <c r="Y181" s="647"/>
      <c r="Z181" s="647"/>
      <c r="AA181" s="647"/>
      <c r="AB181" s="647"/>
      <c r="AC181" s="647"/>
      <c r="AD181" s="647"/>
      <c r="AE181" s="647"/>
      <c r="AF181" s="647"/>
      <c r="AG181" s="647"/>
      <c r="AH181" s="647"/>
      <c r="AI181" s="647"/>
      <c r="AJ181" s="647"/>
      <c r="AK181" s="647"/>
      <c r="AL181" s="647"/>
      <c r="AM181" s="647"/>
      <c r="AN181" s="647"/>
      <c r="AO181" s="647"/>
      <c r="AP181" s="647"/>
      <c r="AQ181" s="647"/>
      <c r="AR181" s="647"/>
      <c r="AS181" s="647"/>
      <c r="AT181" s="647"/>
      <c r="AU181" s="647"/>
      <c r="AV181" s="647"/>
      <c r="AW181" s="647"/>
      <c r="AX181" s="647"/>
      <c r="AY181" s="647"/>
      <c r="AZ181" s="647"/>
      <c r="BA181" s="647"/>
      <c r="BB181" s="647"/>
      <c r="BC181" s="647"/>
      <c r="BD181" s="647"/>
      <c r="BE181" s="647"/>
    </row>
    <row r="182" spans="1:57">
      <c r="A182" s="663" t="s">
        <v>109</v>
      </c>
      <c r="B182" s="665">
        <f>B147-D172*B147</f>
        <v>7153.08337629379</v>
      </c>
      <c r="C182" s="663"/>
      <c r="D182" s="663"/>
      <c r="E182" s="663"/>
      <c r="F182" s="663"/>
      <c r="G182" s="663"/>
      <c r="H182" s="663"/>
      <c r="I182" s="663"/>
      <c r="J182" s="663"/>
      <c r="K182" s="663"/>
      <c r="L182" s="663"/>
      <c r="M182" s="663"/>
      <c r="N182" s="663"/>
      <c r="O182" s="663"/>
      <c r="P182" s="663"/>
      <c r="Q182" s="663">
        <f>SUM(B182:P182)</f>
        <v>7153.08337629379</v>
      </c>
      <c r="R182" s="647"/>
      <c r="S182" s="647"/>
      <c r="T182" s="647"/>
      <c r="U182" s="647"/>
      <c r="V182" s="647"/>
      <c r="W182" s="647"/>
      <c r="X182" s="647"/>
      <c r="Y182" s="647"/>
      <c r="Z182" s="647"/>
      <c r="AA182" s="647"/>
      <c r="AB182" s="647"/>
      <c r="AC182" s="647"/>
      <c r="AD182" s="647"/>
      <c r="AE182" s="647"/>
      <c r="AF182" s="647"/>
      <c r="AG182" s="647"/>
      <c r="AH182" s="647"/>
      <c r="AI182" s="647"/>
      <c r="AJ182" s="647"/>
      <c r="AK182" s="647"/>
      <c r="AL182" s="647"/>
      <c r="AM182" s="647"/>
      <c r="AN182" s="647"/>
      <c r="AO182" s="647"/>
      <c r="AP182" s="647"/>
      <c r="AQ182" s="647"/>
      <c r="AR182" s="647"/>
      <c r="AS182" s="647"/>
      <c r="AT182" s="647"/>
      <c r="AU182" s="647"/>
      <c r="AV182" s="647"/>
      <c r="AW182" s="647"/>
      <c r="AX182" s="647"/>
      <c r="AY182" s="647"/>
      <c r="AZ182" s="647"/>
      <c r="BA182" s="647"/>
      <c r="BB182" s="647"/>
      <c r="BC182" s="647"/>
      <c r="BD182" s="647"/>
      <c r="BE182" s="647"/>
    </row>
    <row r="183" spans="1:57">
      <c r="A183" s="691" t="s">
        <v>712</v>
      </c>
      <c r="B183" s="692"/>
      <c r="C183" s="692"/>
      <c r="D183" s="692"/>
      <c r="E183" s="692"/>
      <c r="F183" s="692"/>
      <c r="G183" s="692"/>
      <c r="H183" s="692"/>
      <c r="I183" s="692"/>
      <c r="J183" s="692"/>
      <c r="K183" s="692"/>
      <c r="L183" s="692"/>
      <c r="M183" s="692"/>
      <c r="N183" s="692"/>
      <c r="O183" s="692"/>
      <c r="P183" s="693"/>
      <c r="Q183" s="663">
        <f>SUM(Q180:Q182)-Q143</f>
        <v>-14647.38814968607</v>
      </c>
      <c r="R183" s="647"/>
      <c r="S183" s="647"/>
      <c r="T183" s="647"/>
      <c r="U183" s="647"/>
      <c r="V183" s="647"/>
      <c r="W183" s="647"/>
      <c r="X183" s="647"/>
      <c r="Y183" s="647"/>
      <c r="Z183" s="647"/>
      <c r="AA183" s="647"/>
      <c r="AB183" s="647"/>
      <c r="AC183" s="647"/>
      <c r="AD183" s="647"/>
      <c r="AE183" s="647"/>
      <c r="AF183" s="647"/>
      <c r="AG183" s="647"/>
      <c r="AH183" s="647"/>
      <c r="AI183" s="647"/>
      <c r="AJ183" s="647"/>
      <c r="AK183" s="647"/>
      <c r="AL183" s="647"/>
      <c r="AM183" s="647"/>
      <c r="AN183" s="647"/>
      <c r="AO183" s="647"/>
      <c r="AP183" s="647"/>
      <c r="AQ183" s="647"/>
      <c r="AR183" s="647"/>
      <c r="AS183" s="647"/>
      <c r="AT183" s="647"/>
      <c r="AU183" s="647"/>
      <c r="AV183" s="647"/>
      <c r="AW183" s="647"/>
      <c r="AX183" s="647"/>
      <c r="AY183" s="647"/>
      <c r="AZ183" s="647"/>
      <c r="BA183" s="647"/>
      <c r="BB183" s="647"/>
      <c r="BC183" s="647"/>
      <c r="BD183" s="647"/>
      <c r="BE183" s="647"/>
    </row>
    <row r="184" spans="1:57">
      <c r="A184" s="669"/>
      <c r="B184" s="694"/>
      <c r="C184" s="669"/>
      <c r="D184" s="669"/>
      <c r="E184" s="669"/>
      <c r="F184" s="669"/>
      <c r="G184" s="669"/>
      <c r="H184" s="669"/>
      <c r="I184" s="669"/>
      <c r="J184" s="669"/>
      <c r="K184" s="669"/>
      <c r="L184" s="669"/>
      <c r="M184" s="669"/>
      <c r="N184" s="669"/>
      <c r="O184" s="669"/>
      <c r="P184" s="669"/>
      <c r="Q184" s="695">
        <f>Q183/Q143</f>
        <v>-7.0899386682399645E-2</v>
      </c>
      <c r="R184" s="647"/>
      <c r="S184" s="647"/>
      <c r="T184" s="647"/>
      <c r="U184" s="647"/>
      <c r="V184" s="647"/>
      <c r="W184" s="647"/>
      <c r="X184" s="647"/>
      <c r="Y184" s="647"/>
      <c r="Z184" s="647"/>
      <c r="AA184" s="647"/>
      <c r="AB184" s="647"/>
      <c r="AC184" s="647"/>
      <c r="AD184" s="647"/>
      <c r="AE184" s="647"/>
      <c r="AF184" s="647"/>
      <c r="AG184" s="647"/>
      <c r="AH184" s="647"/>
      <c r="AI184" s="647"/>
      <c r="AJ184" s="647"/>
      <c r="AK184" s="647"/>
      <c r="AL184" s="647"/>
      <c r="AM184" s="647"/>
      <c r="AN184" s="647"/>
      <c r="AO184" s="647"/>
      <c r="AP184" s="647"/>
      <c r="AQ184" s="647"/>
      <c r="AR184" s="647"/>
      <c r="AS184" s="647"/>
      <c r="AT184" s="647"/>
      <c r="AU184" s="647"/>
      <c r="AV184" s="647"/>
      <c r="AW184" s="647"/>
      <c r="AX184" s="647"/>
      <c r="AY184" s="647"/>
      <c r="AZ184" s="647"/>
      <c r="BA184" s="647"/>
      <c r="BB184" s="647"/>
      <c r="BC184" s="647"/>
      <c r="BD184" s="647"/>
      <c r="BE184" s="647"/>
    </row>
    <row r="185" spans="1:57">
      <c r="A185" s="669"/>
      <c r="B185" s="669"/>
      <c r="C185" s="669"/>
      <c r="D185" s="669"/>
      <c r="E185" s="669"/>
      <c r="F185" s="669"/>
      <c r="G185" s="669"/>
      <c r="H185" s="669"/>
      <c r="I185" s="669"/>
      <c r="J185" s="669"/>
      <c r="K185" s="669"/>
      <c r="L185" s="669"/>
      <c r="M185" s="669"/>
      <c r="N185" s="669"/>
      <c r="O185" s="669"/>
      <c r="P185" s="669"/>
      <c r="R185" s="647"/>
      <c r="S185" s="647"/>
      <c r="T185" s="647"/>
      <c r="U185" s="647"/>
      <c r="V185" s="647"/>
      <c r="W185" s="647"/>
      <c r="X185" s="647"/>
      <c r="Y185" s="647"/>
      <c r="Z185" s="647"/>
      <c r="AA185" s="647"/>
      <c r="AB185" s="647"/>
      <c r="AC185" s="647"/>
      <c r="AD185" s="647"/>
      <c r="AE185" s="647"/>
      <c r="AF185" s="647"/>
      <c r="AG185" s="647"/>
      <c r="AH185" s="647"/>
      <c r="AI185" s="647"/>
      <c r="AJ185" s="647"/>
      <c r="AK185" s="647"/>
      <c r="AL185" s="647"/>
      <c r="AM185" s="647"/>
      <c r="AN185" s="647"/>
      <c r="AO185" s="647"/>
      <c r="AP185" s="647"/>
      <c r="AQ185" s="647"/>
      <c r="AR185" s="647"/>
      <c r="AS185" s="647"/>
      <c r="AT185" s="647"/>
      <c r="AU185" s="647"/>
      <c r="AV185" s="647"/>
      <c r="AW185" s="647"/>
      <c r="AX185" s="647"/>
      <c r="AY185" s="647"/>
      <c r="AZ185" s="647"/>
      <c r="BA185" s="647"/>
      <c r="BB185" s="647"/>
      <c r="BC185" s="647"/>
      <c r="BD185" s="647"/>
      <c r="BE185" s="647"/>
    </row>
    <row r="186" spans="1:57" s="647" customFormat="1">
      <c r="A186" s="696" t="s">
        <v>384</v>
      </c>
      <c r="B186" s="697">
        <f>'Nulmeting 2011'!B16</f>
        <v>0.20531165224649006</v>
      </c>
      <c r="C186" s="697">
        <f>'Nulmeting 2011'!C16</f>
        <v>0</v>
      </c>
      <c r="D186" s="697">
        <f>'Nulmeting 2011'!D16</f>
        <v>0.20200000000000001</v>
      </c>
      <c r="E186" s="697">
        <f>'Nulmeting 2011'!E16</f>
        <v>0.22700000000000001</v>
      </c>
      <c r="F186" s="697">
        <f>'Nulmeting 2011'!F16</f>
        <v>0.26700000000000002</v>
      </c>
      <c r="G186" s="697">
        <f>'Nulmeting 2011'!G16</f>
        <v>0.26700000000000002</v>
      </c>
      <c r="H186" s="697">
        <f>'Nulmeting 2011'!H16</f>
        <v>0.249</v>
      </c>
      <c r="I186" s="697">
        <f>'Nulmeting 2011'!I16</f>
        <v>0.35099999999999998</v>
      </c>
      <c r="J186" s="697">
        <f>'Nulmeting 2011'!J16</f>
        <v>0.35399999999999998</v>
      </c>
      <c r="K186" s="697">
        <f>'Nulmeting 2011'!K16</f>
        <v>0.26400000000000001</v>
      </c>
      <c r="L186" s="697">
        <f>'Nulmeting 2011'!L16</f>
        <v>0</v>
      </c>
      <c r="M186" s="697">
        <f>'Nulmeting 2011'!M16</f>
        <v>0</v>
      </c>
      <c r="N186" s="697">
        <f>'Nulmeting 2011'!N16</f>
        <v>0</v>
      </c>
      <c r="O186" s="697">
        <f>'Nulmeting 2011'!O16</f>
        <v>0</v>
      </c>
      <c r="P186" s="697">
        <f>'Nulmeting 2011'!P16</f>
        <v>0</v>
      </c>
    </row>
    <row r="187" spans="1:57">
      <c r="A187" s="698" t="s">
        <v>383</v>
      </c>
      <c r="R187" s="647"/>
      <c r="S187" s="647"/>
      <c r="T187" s="647"/>
      <c r="U187" s="647"/>
      <c r="V187" s="647"/>
      <c r="W187" s="647"/>
      <c r="X187" s="647"/>
      <c r="Y187" s="647"/>
      <c r="Z187" s="647"/>
      <c r="AA187" s="647"/>
      <c r="AB187" s="647"/>
      <c r="AC187" s="647"/>
      <c r="AD187" s="647"/>
      <c r="AE187" s="647"/>
      <c r="AF187" s="647"/>
      <c r="AG187" s="647"/>
      <c r="AH187" s="647"/>
      <c r="AI187" s="647"/>
      <c r="AJ187" s="647"/>
      <c r="AK187" s="647"/>
      <c r="AL187" s="647"/>
      <c r="AM187" s="647"/>
      <c r="AN187" s="647"/>
      <c r="AO187" s="647"/>
      <c r="AP187" s="647"/>
      <c r="AQ187" s="647"/>
      <c r="AR187" s="647"/>
      <c r="AS187" s="647"/>
      <c r="AT187" s="647"/>
      <c r="AU187" s="647"/>
      <c r="AV187" s="647"/>
      <c r="AW187" s="647"/>
      <c r="AX187" s="647"/>
      <c r="AY187" s="647"/>
      <c r="AZ187" s="647"/>
      <c r="BA187" s="647"/>
      <c r="BB187" s="647"/>
      <c r="BC187" s="647"/>
      <c r="BD187" s="647"/>
      <c r="BE187" s="647"/>
    </row>
    <row r="188" spans="1:57">
      <c r="A188" s="669"/>
      <c r="B188" s="669"/>
      <c r="C188" s="669"/>
      <c r="D188" s="669"/>
      <c r="E188" s="669"/>
      <c r="F188" s="669"/>
      <c r="G188" s="669"/>
      <c r="H188" s="669"/>
      <c r="I188" s="669"/>
      <c r="J188" s="669"/>
      <c r="K188" s="669"/>
      <c r="L188" s="669"/>
      <c r="M188" s="669"/>
      <c r="N188" s="669"/>
      <c r="O188" s="669"/>
      <c r="P188" s="669"/>
      <c r="R188" s="647"/>
      <c r="S188" s="647"/>
      <c r="T188" s="647"/>
      <c r="U188" s="647"/>
      <c r="V188" s="647"/>
      <c r="W188" s="647"/>
      <c r="X188" s="647"/>
      <c r="Y188" s="647"/>
      <c r="Z188" s="647"/>
      <c r="AA188" s="647"/>
      <c r="AB188" s="647"/>
      <c r="AC188" s="647"/>
      <c r="AD188" s="647"/>
      <c r="AE188" s="647"/>
      <c r="AF188" s="647"/>
      <c r="AG188" s="647"/>
      <c r="AH188" s="647"/>
      <c r="AI188" s="647"/>
      <c r="AJ188" s="647"/>
      <c r="AK188" s="647"/>
      <c r="AL188" s="647"/>
      <c r="AM188" s="647"/>
      <c r="AN188" s="647"/>
      <c r="AO188" s="647"/>
      <c r="AP188" s="647"/>
      <c r="AQ188" s="647"/>
      <c r="AR188" s="647"/>
      <c r="AS188" s="647"/>
      <c r="AT188" s="647"/>
      <c r="AU188" s="647"/>
      <c r="AV188" s="647"/>
      <c r="AW188" s="647"/>
      <c r="AX188" s="647"/>
      <c r="AY188" s="647"/>
      <c r="AZ188" s="647"/>
      <c r="BA188" s="647"/>
      <c r="BB188" s="647"/>
      <c r="BC188" s="647"/>
      <c r="BD188" s="647"/>
      <c r="BE188" s="647"/>
    </row>
    <row r="189" spans="1:57" ht="15" customHeight="1">
      <c r="A189" s="777" t="s">
        <v>48</v>
      </c>
      <c r="B189" s="780" t="s">
        <v>715</v>
      </c>
      <c r="C189" s="781"/>
      <c r="D189" s="781"/>
      <c r="E189" s="781"/>
      <c r="F189" s="781"/>
      <c r="G189" s="781"/>
      <c r="H189" s="781"/>
      <c r="I189" s="781"/>
      <c r="J189" s="781"/>
      <c r="K189" s="781"/>
      <c r="L189" s="781"/>
      <c r="M189" s="781"/>
      <c r="N189" s="781"/>
      <c r="O189" s="781"/>
      <c r="P189" s="781"/>
      <c r="Q189" s="782"/>
      <c r="R189" s="647"/>
      <c r="S189" s="647"/>
      <c r="T189" s="647"/>
      <c r="U189" s="647"/>
      <c r="V189" s="647"/>
      <c r="W189" s="647"/>
      <c r="X189" s="647"/>
      <c r="Y189" s="647"/>
      <c r="Z189" s="647"/>
      <c r="AA189" s="647"/>
      <c r="AB189" s="647"/>
      <c r="AC189" s="647"/>
      <c r="AD189" s="647"/>
      <c r="AE189" s="647"/>
      <c r="AF189" s="647"/>
      <c r="AG189" s="647"/>
      <c r="AH189" s="647"/>
      <c r="AI189" s="647"/>
      <c r="AJ189" s="647"/>
      <c r="AK189" s="647"/>
      <c r="AL189" s="647"/>
      <c r="AM189" s="647"/>
      <c r="AN189" s="647"/>
      <c r="AO189" s="647"/>
      <c r="AP189" s="647"/>
      <c r="AQ189" s="647"/>
      <c r="AR189" s="647"/>
      <c r="AS189" s="647"/>
      <c r="AT189" s="647"/>
      <c r="AU189" s="647"/>
      <c r="AV189" s="647"/>
      <c r="AW189" s="647"/>
      <c r="AX189" s="647"/>
      <c r="AY189" s="647"/>
      <c r="AZ189" s="647"/>
      <c r="BA189" s="647"/>
      <c r="BB189" s="647"/>
      <c r="BC189" s="647"/>
      <c r="BD189" s="647"/>
      <c r="BE189" s="647"/>
    </row>
    <row r="190" spans="1:57" ht="16.5" customHeight="1">
      <c r="A190" s="778"/>
      <c r="B190" s="783" t="s">
        <v>2</v>
      </c>
      <c r="C190" s="783" t="s">
        <v>31</v>
      </c>
      <c r="D190" s="785" t="s">
        <v>32</v>
      </c>
      <c r="E190" s="786"/>
      <c r="F190" s="786"/>
      <c r="G190" s="786"/>
      <c r="H190" s="786"/>
      <c r="I190" s="786"/>
      <c r="J190" s="786"/>
      <c r="K190" s="787"/>
      <c r="L190" s="785" t="s">
        <v>33</v>
      </c>
      <c r="M190" s="786"/>
      <c r="N190" s="786"/>
      <c r="O190" s="786"/>
      <c r="P190" s="787"/>
      <c r="Q190" s="783" t="s">
        <v>27</v>
      </c>
      <c r="R190" s="647"/>
      <c r="S190" s="647"/>
      <c r="T190" s="647"/>
      <c r="U190" s="647"/>
      <c r="V190" s="647"/>
      <c r="W190" s="647"/>
      <c r="X190" s="647"/>
      <c r="Y190" s="647"/>
      <c r="Z190" s="647"/>
      <c r="AA190" s="647"/>
      <c r="AB190" s="647"/>
      <c r="AC190" s="647"/>
      <c r="AD190" s="647"/>
      <c r="AE190" s="647"/>
      <c r="AF190" s="647"/>
      <c r="AG190" s="647"/>
      <c r="AH190" s="647"/>
      <c r="AI190" s="647"/>
      <c r="AJ190" s="647"/>
      <c r="AK190" s="647"/>
      <c r="AL190" s="647"/>
      <c r="AM190" s="647"/>
      <c r="AN190" s="647"/>
      <c r="AO190" s="647"/>
      <c r="AP190" s="647"/>
      <c r="AQ190" s="647"/>
      <c r="AR190" s="647"/>
      <c r="AS190" s="647"/>
      <c r="AT190" s="647"/>
      <c r="AU190" s="647"/>
      <c r="AV190" s="647"/>
      <c r="AW190" s="647"/>
      <c r="AX190" s="647"/>
      <c r="AY190" s="647"/>
      <c r="AZ190" s="647"/>
      <c r="BA190" s="647"/>
      <c r="BB190" s="647"/>
      <c r="BC190" s="647"/>
      <c r="BD190" s="647"/>
      <c r="BE190" s="647"/>
    </row>
    <row r="191" spans="1:57" ht="45">
      <c r="A191" s="779"/>
      <c r="B191" s="784"/>
      <c r="C191" s="784"/>
      <c r="D191" s="662" t="s">
        <v>34</v>
      </c>
      <c r="E191" s="662" t="s">
        <v>35</v>
      </c>
      <c r="F191" s="662" t="s">
        <v>36</v>
      </c>
      <c r="G191" s="662" t="s">
        <v>37</v>
      </c>
      <c r="H191" s="662" t="s">
        <v>29</v>
      </c>
      <c r="I191" s="662" t="s">
        <v>38</v>
      </c>
      <c r="J191" s="662" t="s">
        <v>39</v>
      </c>
      <c r="K191" s="662" t="s">
        <v>40</v>
      </c>
      <c r="L191" s="662" t="s">
        <v>41</v>
      </c>
      <c r="M191" s="662" t="s">
        <v>42</v>
      </c>
      <c r="N191" s="662" t="s">
        <v>43</v>
      </c>
      <c r="O191" s="662" t="s">
        <v>44</v>
      </c>
      <c r="P191" s="662" t="s">
        <v>45</v>
      </c>
      <c r="Q191" s="784"/>
      <c r="R191" s="647"/>
      <c r="S191" s="647"/>
      <c r="T191" s="647"/>
      <c r="U191" s="647"/>
      <c r="V191" s="647"/>
      <c r="W191" s="647"/>
      <c r="X191" s="647"/>
      <c r="Y191" s="647"/>
      <c r="Z191" s="647"/>
      <c r="AA191" s="647"/>
      <c r="AB191" s="647"/>
      <c r="AC191" s="647"/>
      <c r="AD191" s="647"/>
      <c r="AE191" s="647"/>
      <c r="AF191" s="647"/>
      <c r="AG191" s="647"/>
      <c r="AH191" s="647"/>
      <c r="AI191" s="647"/>
      <c r="AJ191" s="647"/>
      <c r="AK191" s="647"/>
      <c r="AL191" s="647"/>
      <c r="AM191" s="647"/>
      <c r="AN191" s="647"/>
      <c r="AO191" s="647"/>
      <c r="AP191" s="647"/>
      <c r="AQ191" s="647"/>
      <c r="AR191" s="647"/>
      <c r="AS191" s="647"/>
      <c r="AT191" s="647"/>
      <c r="AU191" s="647"/>
      <c r="AV191" s="647"/>
      <c r="AW191" s="647"/>
      <c r="AX191" s="647"/>
      <c r="AY191" s="647"/>
      <c r="AZ191" s="647"/>
      <c r="BA191" s="647"/>
      <c r="BB191" s="647"/>
      <c r="BC191" s="647"/>
      <c r="BD191" s="647"/>
      <c r="BE191" s="647"/>
    </row>
    <row r="192" spans="1:57">
      <c r="A192" s="663" t="s">
        <v>129</v>
      </c>
      <c r="B192" s="663">
        <f>B180*B$186</f>
        <v>6530.7531745363613</v>
      </c>
      <c r="C192" s="663">
        <f t="shared" ref="C192:P192" si="7">C180*C$186</f>
        <v>0</v>
      </c>
      <c r="D192" s="663">
        <f t="shared" si="7"/>
        <v>27031.169711420374</v>
      </c>
      <c r="E192" s="663">
        <f t="shared" si="7"/>
        <v>171.25717414252449</v>
      </c>
      <c r="F192" s="663">
        <f t="shared" si="7"/>
        <v>3675.300380625617</v>
      </c>
      <c r="G192" s="663">
        <f t="shared" si="7"/>
        <v>0</v>
      </c>
      <c r="H192" s="663">
        <f t="shared" si="7"/>
        <v>0</v>
      </c>
      <c r="I192" s="663">
        <f t="shared" si="7"/>
        <v>0</v>
      </c>
      <c r="J192" s="663">
        <f t="shared" si="7"/>
        <v>0</v>
      </c>
      <c r="K192" s="663">
        <f t="shared" si="7"/>
        <v>0</v>
      </c>
      <c r="L192" s="663">
        <f t="shared" si="7"/>
        <v>0</v>
      </c>
      <c r="M192" s="663">
        <f t="shared" si="7"/>
        <v>0</v>
      </c>
      <c r="N192" s="663">
        <f t="shared" si="7"/>
        <v>0</v>
      </c>
      <c r="O192" s="663">
        <f t="shared" si="7"/>
        <v>0</v>
      </c>
      <c r="P192" s="663">
        <f t="shared" si="7"/>
        <v>0</v>
      </c>
      <c r="Q192" s="663">
        <f>SUM(B192:P192)</f>
        <v>37408.480440724881</v>
      </c>
      <c r="R192" s="647"/>
      <c r="S192" s="690"/>
      <c r="T192" s="647"/>
      <c r="U192" s="647"/>
      <c r="V192" s="647"/>
      <c r="W192" s="647"/>
      <c r="X192" s="647"/>
      <c r="Y192" s="647"/>
      <c r="Z192" s="647"/>
      <c r="AA192" s="647"/>
      <c r="AB192" s="647"/>
      <c r="AC192" s="647"/>
      <c r="AD192" s="647"/>
      <c r="AE192" s="647"/>
      <c r="AF192" s="647"/>
      <c r="AG192" s="647"/>
      <c r="AH192" s="647"/>
      <c r="AI192" s="647"/>
      <c r="AJ192" s="647"/>
      <c r="AK192" s="647"/>
      <c r="AL192" s="647"/>
      <c r="AM192" s="647"/>
      <c r="AN192" s="647"/>
      <c r="AO192" s="647"/>
      <c r="AP192" s="647"/>
      <c r="AQ192" s="647"/>
      <c r="AR192" s="647"/>
      <c r="AS192" s="647"/>
      <c r="AT192" s="647"/>
      <c r="AU192" s="647"/>
      <c r="AV192" s="647"/>
      <c r="AW192" s="647"/>
      <c r="AX192" s="647"/>
      <c r="AY192" s="647"/>
      <c r="AZ192" s="647"/>
      <c r="BA192" s="647"/>
      <c r="BB192" s="647"/>
      <c r="BC192" s="647"/>
      <c r="BD192" s="647"/>
      <c r="BE192" s="647"/>
    </row>
    <row r="193" spans="1:57">
      <c r="A193" s="663" t="s">
        <v>132</v>
      </c>
      <c r="B193" s="663">
        <f t="shared" ref="B193:P194" si="8">B181*B$186</f>
        <v>1.3982902455989106</v>
      </c>
      <c r="C193" s="663">
        <f t="shared" si="8"/>
        <v>0</v>
      </c>
      <c r="D193" s="663">
        <f t="shared" si="8"/>
        <v>5.0026763352272736</v>
      </c>
      <c r="E193" s="663">
        <f t="shared" si="8"/>
        <v>0</v>
      </c>
      <c r="F193" s="663">
        <f t="shared" si="8"/>
        <v>0</v>
      </c>
      <c r="G193" s="663">
        <f t="shared" si="8"/>
        <v>0</v>
      </c>
      <c r="H193" s="663">
        <f t="shared" si="8"/>
        <v>0</v>
      </c>
      <c r="I193" s="663">
        <f t="shared" si="8"/>
        <v>0</v>
      </c>
      <c r="J193" s="663">
        <f t="shared" si="8"/>
        <v>0</v>
      </c>
      <c r="K193" s="663">
        <f t="shared" si="8"/>
        <v>0</v>
      </c>
      <c r="L193" s="663">
        <f t="shared" si="8"/>
        <v>0</v>
      </c>
      <c r="M193" s="663">
        <f t="shared" si="8"/>
        <v>0</v>
      </c>
      <c r="N193" s="663">
        <f t="shared" si="8"/>
        <v>0</v>
      </c>
      <c r="O193" s="663">
        <f t="shared" si="8"/>
        <v>0</v>
      </c>
      <c r="P193" s="663">
        <f t="shared" si="8"/>
        <v>0</v>
      </c>
      <c r="Q193" s="663">
        <f>SUM(B193:P193)</f>
        <v>6.400966580826184</v>
      </c>
      <c r="R193" s="647"/>
      <c r="S193" s="647"/>
      <c r="T193" s="647"/>
      <c r="U193" s="647"/>
      <c r="V193" s="647"/>
      <c r="W193" s="647"/>
      <c r="X193" s="647"/>
      <c r="Y193" s="647"/>
      <c r="Z193" s="647"/>
      <c r="AA193" s="647"/>
      <c r="AB193" s="647"/>
      <c r="AC193" s="647"/>
      <c r="AD193" s="647"/>
      <c r="AE193" s="647"/>
      <c r="AF193" s="647"/>
      <c r="AG193" s="647"/>
      <c r="AH193" s="647"/>
      <c r="AI193" s="647"/>
      <c r="AJ193" s="647"/>
      <c r="AK193" s="647"/>
      <c r="AL193" s="647"/>
      <c r="AM193" s="647"/>
      <c r="AN193" s="647"/>
      <c r="AO193" s="647"/>
      <c r="AP193" s="647"/>
      <c r="AQ193" s="647"/>
      <c r="AR193" s="647"/>
      <c r="AS193" s="647"/>
      <c r="AT193" s="647"/>
      <c r="AU193" s="647"/>
      <c r="AV193" s="647"/>
      <c r="AW193" s="647"/>
      <c r="AX193" s="647"/>
      <c r="AY193" s="647"/>
      <c r="AZ193" s="647"/>
      <c r="BA193" s="647"/>
      <c r="BB193" s="647"/>
      <c r="BC193" s="647"/>
      <c r="BD193" s="647"/>
      <c r="BE193" s="647"/>
    </row>
    <row r="194" spans="1:57">
      <c r="A194" s="663" t="s">
        <v>109</v>
      </c>
      <c r="B194" s="663">
        <f t="shared" si="8"/>
        <v>1468.6113666437795</v>
      </c>
      <c r="C194" s="663">
        <f t="shared" si="8"/>
        <v>0</v>
      </c>
      <c r="D194" s="663">
        <f t="shared" si="8"/>
        <v>0</v>
      </c>
      <c r="E194" s="663">
        <f t="shared" si="8"/>
        <v>0</v>
      </c>
      <c r="F194" s="663">
        <f t="shared" si="8"/>
        <v>0</v>
      </c>
      <c r="G194" s="663">
        <f t="shared" si="8"/>
        <v>0</v>
      </c>
      <c r="H194" s="663">
        <f t="shared" si="8"/>
        <v>0</v>
      </c>
      <c r="I194" s="663">
        <f t="shared" si="8"/>
        <v>0</v>
      </c>
      <c r="J194" s="663">
        <f t="shared" si="8"/>
        <v>0</v>
      </c>
      <c r="K194" s="663">
        <f t="shared" si="8"/>
        <v>0</v>
      </c>
      <c r="L194" s="663">
        <f t="shared" si="8"/>
        <v>0</v>
      </c>
      <c r="M194" s="663">
        <f t="shared" si="8"/>
        <v>0</v>
      </c>
      <c r="N194" s="663">
        <f t="shared" si="8"/>
        <v>0</v>
      </c>
      <c r="O194" s="663">
        <f t="shared" si="8"/>
        <v>0</v>
      </c>
      <c r="P194" s="663">
        <f t="shared" si="8"/>
        <v>0</v>
      </c>
      <c r="Q194" s="663">
        <f>SUM(B194:P194)</f>
        <v>1468.6113666437795</v>
      </c>
      <c r="R194" s="647"/>
      <c r="S194" s="647"/>
      <c r="T194" s="647"/>
      <c r="U194" s="647"/>
      <c r="V194" s="647"/>
      <c r="W194" s="647"/>
      <c r="X194" s="647"/>
      <c r="Y194" s="647"/>
      <c r="Z194" s="647"/>
      <c r="AA194" s="647"/>
      <c r="AB194" s="647"/>
      <c r="AC194" s="647"/>
      <c r="AD194" s="647"/>
      <c r="AE194" s="647"/>
      <c r="AF194" s="647"/>
      <c r="AG194" s="647"/>
      <c r="AH194" s="647"/>
      <c r="AI194" s="647"/>
      <c r="AJ194" s="647"/>
      <c r="AK194" s="647"/>
      <c r="AL194" s="647"/>
      <c r="AM194" s="647"/>
      <c r="AN194" s="647"/>
      <c r="AO194" s="647"/>
      <c r="AP194" s="647"/>
      <c r="AQ194" s="647"/>
      <c r="AR194" s="647"/>
      <c r="AS194" s="647"/>
      <c r="AT194" s="647"/>
      <c r="AU194" s="647"/>
      <c r="AV194" s="647"/>
      <c r="AW194" s="647"/>
      <c r="AX194" s="647"/>
      <c r="AY194" s="647"/>
      <c r="AZ194" s="647"/>
      <c r="BA194" s="647"/>
      <c r="BB194" s="647"/>
      <c r="BC194" s="647"/>
      <c r="BD194" s="647"/>
      <c r="BE194" s="647"/>
    </row>
    <row r="195" spans="1:57">
      <c r="A195" s="669"/>
      <c r="B195" s="669"/>
      <c r="C195" s="669"/>
      <c r="D195" s="669"/>
      <c r="E195" s="669"/>
      <c r="F195" s="669"/>
      <c r="G195" s="669"/>
      <c r="H195" s="669"/>
      <c r="I195" s="669"/>
      <c r="J195" s="669"/>
      <c r="K195" s="669"/>
      <c r="L195" s="669"/>
      <c r="M195" s="669"/>
      <c r="N195" s="669"/>
      <c r="O195" s="669"/>
      <c r="P195" s="669"/>
      <c r="Q195" s="669"/>
      <c r="R195" s="647"/>
      <c r="S195" s="647"/>
      <c r="T195" s="647"/>
      <c r="U195" s="647"/>
      <c r="V195" s="647"/>
      <c r="W195" s="647"/>
      <c r="X195" s="647"/>
      <c r="Y195" s="647"/>
      <c r="Z195" s="647"/>
      <c r="AA195" s="647"/>
      <c r="AB195" s="647"/>
      <c r="AC195" s="647"/>
      <c r="AD195" s="647"/>
      <c r="AE195" s="647"/>
      <c r="AF195" s="647"/>
      <c r="AG195" s="647"/>
      <c r="AH195" s="647"/>
      <c r="AI195" s="647"/>
      <c r="AJ195" s="647"/>
      <c r="AK195" s="647"/>
      <c r="AL195" s="647"/>
      <c r="AM195" s="647"/>
      <c r="AN195" s="647"/>
      <c r="AO195" s="647"/>
      <c r="AP195" s="647"/>
      <c r="AQ195" s="647"/>
      <c r="AR195" s="647"/>
      <c r="AS195" s="647"/>
      <c r="AT195" s="647"/>
      <c r="AU195" s="647"/>
      <c r="AV195" s="647"/>
      <c r="AW195" s="647"/>
      <c r="AX195" s="647"/>
      <c r="AY195" s="647"/>
      <c r="AZ195" s="647"/>
      <c r="BA195" s="647"/>
      <c r="BB195" s="647"/>
      <c r="BC195" s="647"/>
      <c r="BD195" s="647"/>
      <c r="BE195" s="647"/>
    </row>
    <row r="196" spans="1:57">
      <c r="R196" s="647"/>
      <c r="S196" s="647"/>
      <c r="T196" s="647"/>
      <c r="U196" s="647"/>
      <c r="V196" s="647"/>
      <c r="W196" s="647"/>
      <c r="X196" s="647"/>
      <c r="Y196" s="647"/>
      <c r="Z196" s="647"/>
      <c r="AA196" s="647"/>
      <c r="AB196" s="647"/>
      <c r="AC196" s="647"/>
      <c r="AD196" s="647"/>
      <c r="AE196" s="647"/>
      <c r="AF196" s="647"/>
      <c r="AG196" s="647"/>
      <c r="AH196" s="647"/>
      <c r="AI196" s="647"/>
      <c r="AJ196" s="647"/>
      <c r="AK196" s="647"/>
      <c r="AL196" s="647"/>
      <c r="AM196" s="647"/>
      <c r="AN196" s="647"/>
      <c r="AO196" s="647"/>
      <c r="AP196" s="647"/>
      <c r="AQ196" s="647"/>
      <c r="AR196" s="647"/>
      <c r="AS196" s="647"/>
      <c r="AT196" s="647"/>
      <c r="AU196" s="647"/>
      <c r="AV196" s="647"/>
      <c r="AW196" s="647"/>
      <c r="AX196" s="647"/>
      <c r="AY196" s="647"/>
      <c r="AZ196" s="647"/>
      <c r="BA196" s="647"/>
      <c r="BB196" s="647"/>
      <c r="BC196" s="647"/>
      <c r="BD196" s="647"/>
      <c r="BE196" s="647"/>
    </row>
    <row r="197" spans="1:57">
      <c r="R197" s="647"/>
      <c r="S197" s="647"/>
      <c r="T197" s="647"/>
      <c r="U197" s="647"/>
      <c r="V197" s="647"/>
      <c r="W197" s="647"/>
      <c r="X197" s="647"/>
      <c r="Y197" s="647"/>
      <c r="Z197" s="647"/>
      <c r="AA197" s="647"/>
      <c r="AB197" s="647"/>
      <c r="AC197" s="647"/>
      <c r="AD197" s="647"/>
      <c r="AE197" s="647"/>
      <c r="AF197" s="647"/>
      <c r="AG197" s="647"/>
      <c r="AH197" s="647"/>
      <c r="AI197" s="647"/>
      <c r="AJ197" s="647"/>
      <c r="AK197" s="647"/>
      <c r="AL197" s="647"/>
      <c r="AM197" s="647"/>
      <c r="AN197" s="647"/>
      <c r="AO197" s="647"/>
      <c r="AP197" s="647"/>
      <c r="AQ197" s="647"/>
      <c r="AR197" s="647"/>
      <c r="AS197" s="647"/>
      <c r="AT197" s="647"/>
      <c r="AU197" s="647"/>
      <c r="AV197" s="647"/>
      <c r="AW197" s="647"/>
      <c r="AX197" s="647"/>
      <c r="AY197" s="647"/>
      <c r="AZ197" s="647"/>
      <c r="BA197" s="647"/>
      <c r="BB197" s="647"/>
      <c r="BC197" s="647"/>
      <c r="BD197" s="647"/>
      <c r="BE197" s="647"/>
    </row>
    <row r="198" spans="1:57">
      <c r="R198" s="647"/>
      <c r="S198" s="647"/>
      <c r="T198" s="647"/>
      <c r="U198" s="647"/>
      <c r="V198" s="647"/>
      <c r="W198" s="647"/>
      <c r="X198" s="647"/>
      <c r="Y198" s="647"/>
      <c r="Z198" s="647"/>
      <c r="AA198" s="647"/>
      <c r="AB198" s="647"/>
      <c r="AC198" s="647"/>
      <c r="AD198" s="647"/>
      <c r="AE198" s="647"/>
      <c r="AF198" s="647"/>
      <c r="AG198" s="647"/>
      <c r="AH198" s="647"/>
      <c r="AI198" s="647"/>
      <c r="AJ198" s="647"/>
      <c r="AK198" s="647"/>
      <c r="AL198" s="647"/>
      <c r="AM198" s="647"/>
      <c r="AN198" s="647"/>
      <c r="AO198" s="647"/>
      <c r="AP198" s="647"/>
      <c r="AQ198" s="647"/>
      <c r="AR198" s="647"/>
      <c r="AS198" s="647"/>
      <c r="AT198" s="647"/>
      <c r="AU198" s="647"/>
      <c r="AV198" s="647"/>
      <c r="AW198" s="647"/>
      <c r="AX198" s="647"/>
      <c r="AY198" s="647"/>
      <c r="AZ198" s="647"/>
      <c r="BA198" s="647"/>
      <c r="BB198" s="647"/>
      <c r="BC198" s="647"/>
      <c r="BD198" s="647"/>
      <c r="BE198" s="647"/>
    </row>
    <row r="199" spans="1:57">
      <c r="R199" s="647"/>
      <c r="S199" s="647"/>
      <c r="T199" s="647"/>
      <c r="U199" s="647"/>
      <c r="V199" s="647"/>
      <c r="W199" s="647"/>
      <c r="X199" s="647"/>
      <c r="Y199" s="647"/>
      <c r="Z199" s="647"/>
      <c r="AA199" s="647"/>
      <c r="AB199" s="647"/>
      <c r="AC199" s="647"/>
      <c r="AD199" s="647"/>
      <c r="AE199" s="647"/>
      <c r="AF199" s="647"/>
      <c r="AG199" s="647"/>
      <c r="AH199" s="647"/>
      <c r="AI199" s="647"/>
      <c r="AJ199" s="647"/>
      <c r="AK199" s="647"/>
      <c r="AL199" s="647"/>
      <c r="AM199" s="647"/>
      <c r="AN199" s="647"/>
      <c r="AO199" s="647"/>
      <c r="AP199" s="647"/>
      <c r="AQ199" s="647"/>
      <c r="AR199" s="647"/>
      <c r="AS199" s="647"/>
      <c r="AT199" s="647"/>
      <c r="AU199" s="647"/>
      <c r="AV199" s="647"/>
      <c r="AW199" s="647"/>
      <c r="AX199" s="647"/>
      <c r="AY199" s="647"/>
      <c r="AZ199" s="647"/>
      <c r="BA199" s="647"/>
      <c r="BB199" s="647"/>
      <c r="BC199" s="647"/>
      <c r="BD199" s="647"/>
      <c r="BE199" s="647"/>
    </row>
    <row r="200" spans="1:57">
      <c r="R200" s="647"/>
      <c r="S200" s="647"/>
      <c r="T200" s="647"/>
      <c r="U200" s="647"/>
      <c r="V200" s="647"/>
      <c r="W200" s="647"/>
      <c r="X200" s="647"/>
      <c r="Y200" s="647"/>
      <c r="Z200" s="647"/>
      <c r="AA200" s="647"/>
      <c r="AB200" s="647"/>
      <c r="AC200" s="647"/>
      <c r="AD200" s="647"/>
      <c r="AE200" s="647"/>
      <c r="AF200" s="647"/>
      <c r="AG200" s="647"/>
      <c r="AH200" s="647"/>
      <c r="AI200" s="647"/>
      <c r="AJ200" s="647"/>
      <c r="AK200" s="647"/>
      <c r="AL200" s="647"/>
      <c r="AM200" s="647"/>
      <c r="AN200" s="647"/>
      <c r="AO200" s="647"/>
      <c r="AP200" s="647"/>
      <c r="AQ200" s="647"/>
      <c r="AR200" s="647"/>
      <c r="AS200" s="647"/>
      <c r="AT200" s="647"/>
      <c r="AU200" s="647"/>
      <c r="AV200" s="647"/>
      <c r="AW200" s="647"/>
      <c r="AX200" s="647"/>
      <c r="AY200" s="647"/>
      <c r="AZ200" s="647"/>
      <c r="BA200" s="647"/>
      <c r="BB200" s="647"/>
      <c r="BC200" s="647"/>
      <c r="BD200" s="647"/>
      <c r="BE200" s="647"/>
    </row>
    <row r="201" spans="1:57">
      <c r="R201" s="647"/>
      <c r="S201" s="647"/>
      <c r="T201" s="647"/>
      <c r="U201" s="647"/>
      <c r="V201" s="647"/>
      <c r="W201" s="647"/>
      <c r="X201" s="647"/>
      <c r="Y201" s="647"/>
      <c r="Z201" s="647"/>
      <c r="AA201" s="647"/>
      <c r="AB201" s="647"/>
      <c r="AC201" s="647"/>
      <c r="AD201" s="647"/>
      <c r="AE201" s="647"/>
      <c r="AF201" s="647"/>
      <c r="AG201" s="647"/>
      <c r="AH201" s="647"/>
      <c r="AI201" s="647"/>
      <c r="AJ201" s="647"/>
      <c r="AK201" s="647"/>
      <c r="AL201" s="647"/>
      <c r="AM201" s="647"/>
      <c r="AN201" s="647"/>
      <c r="AO201" s="647"/>
      <c r="AP201" s="647"/>
      <c r="AQ201" s="647"/>
      <c r="AR201" s="647"/>
      <c r="AS201" s="647"/>
      <c r="AT201" s="647"/>
      <c r="AU201" s="647"/>
      <c r="AV201" s="647"/>
      <c r="AW201" s="647"/>
      <c r="AX201" s="647"/>
      <c r="AY201" s="647"/>
      <c r="AZ201" s="647"/>
      <c r="BA201" s="647"/>
      <c r="BB201" s="647"/>
      <c r="BC201" s="647"/>
      <c r="BD201" s="647"/>
      <c r="BE201" s="647"/>
    </row>
    <row r="202" spans="1:57">
      <c r="R202" s="647"/>
      <c r="S202" s="647"/>
      <c r="T202" s="647"/>
      <c r="U202" s="647"/>
      <c r="V202" s="647"/>
      <c r="W202" s="647"/>
      <c r="X202" s="647"/>
      <c r="Y202" s="647"/>
      <c r="Z202" s="647"/>
      <c r="AA202" s="647"/>
      <c r="AB202" s="647"/>
      <c r="AC202" s="647"/>
      <c r="AD202" s="647"/>
      <c r="AE202" s="647"/>
      <c r="AF202" s="647"/>
      <c r="AG202" s="647"/>
      <c r="AH202" s="647"/>
      <c r="AI202" s="647"/>
      <c r="AJ202" s="647"/>
      <c r="AK202" s="647"/>
      <c r="AL202" s="647"/>
      <c r="AM202" s="647"/>
      <c r="AN202" s="647"/>
      <c r="AO202" s="647"/>
      <c r="AP202" s="647"/>
      <c r="AQ202" s="647"/>
      <c r="AR202" s="647"/>
      <c r="AS202" s="647"/>
      <c r="AT202" s="647"/>
      <c r="AU202" s="647"/>
      <c r="AV202" s="647"/>
      <c r="AW202" s="647"/>
      <c r="AX202" s="647"/>
      <c r="AY202" s="647"/>
      <c r="AZ202" s="647"/>
      <c r="BA202" s="647"/>
      <c r="BB202" s="647"/>
      <c r="BC202" s="647"/>
      <c r="BD202" s="647"/>
      <c r="BE202" s="647"/>
    </row>
  </sheetData>
  <sheetProtection password="849B" sheet="1" objects="1" scenarios="1"/>
  <mergeCells count="28">
    <mergeCell ref="C124:C125"/>
    <mergeCell ref="D124:K124"/>
    <mergeCell ref="L124:P124"/>
    <mergeCell ref="Q124:Q125"/>
    <mergeCell ref="A123:A125"/>
    <mergeCell ref="B123:Q123"/>
    <mergeCell ref="B124:B125"/>
    <mergeCell ref="Q141:Q142"/>
    <mergeCell ref="A140:A142"/>
    <mergeCell ref="B140:Q140"/>
    <mergeCell ref="B141:B142"/>
    <mergeCell ref="C141:C142"/>
    <mergeCell ref="D141:K141"/>
    <mergeCell ref="L141:P141"/>
    <mergeCell ref="A189:A191"/>
    <mergeCell ref="B189:Q189"/>
    <mergeCell ref="B190:B191"/>
    <mergeCell ref="C190:C191"/>
    <mergeCell ref="D190:K190"/>
    <mergeCell ref="L190:P190"/>
    <mergeCell ref="Q190:Q191"/>
    <mergeCell ref="A177:A179"/>
    <mergeCell ref="B177:Q177"/>
    <mergeCell ref="B178:B179"/>
    <mergeCell ref="C178:C179"/>
    <mergeCell ref="D178:K178"/>
    <mergeCell ref="L178:P178"/>
    <mergeCell ref="Q178:Q179"/>
  </mergeCells>
  <hyperlinks>
    <hyperlink ref="H162" r:id="rId1" display="http://www.oved.be/sites/default/files/upload/3a_P-LP-VEA-BENgebouwen.pdf"/>
    <hyperlink ref="H170" r:id="rId2" display="www.livios.be"/>
    <hyperlink ref="H172" r:id="rId3" display="http://ec.europa.eu/enterprise/policies/sustainable-business/ecodesign/product-groups/index_en.htm"/>
  </hyperlinks>
  <pageMargins left="0.7" right="0.7" top="0.75" bottom="0.75" header="0.3" footer="0.3"/>
  <pageSetup paperSize="9" orientation="portrait" r:id="rId4"/>
  <drawing r:id="rId5"/>
  <legacyDrawing r:id="rId6"/>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9"/>
  </sheetPr>
  <dimension ref="A1:EF135"/>
  <sheetViews>
    <sheetView showGridLines="0" zoomScale="90" zoomScaleNormal="90" workbookViewId="0"/>
  </sheetViews>
  <sheetFormatPr defaultColWidth="9.140625" defaultRowHeight="15"/>
  <cols>
    <col min="1" max="1" width="68.5703125" style="590" customWidth="1"/>
    <col min="2" max="2" width="46.140625" style="590" customWidth="1"/>
    <col min="3" max="3" width="19.28515625" style="590" customWidth="1"/>
    <col min="4" max="4" width="22.28515625" style="590" customWidth="1"/>
    <col min="5" max="5" width="20.7109375" style="590" customWidth="1"/>
    <col min="6" max="6" width="44.5703125" style="590" customWidth="1"/>
    <col min="7" max="7" width="21.7109375" style="590" customWidth="1"/>
    <col min="8" max="8" width="14.140625" style="590" customWidth="1"/>
    <col min="9" max="9" width="52.7109375" style="590" bestFit="1" customWidth="1"/>
    <col min="10" max="11" width="14.140625" style="590" customWidth="1"/>
    <col min="12" max="12" width="23.28515625" style="590" customWidth="1"/>
    <col min="13" max="13" width="20.85546875" style="590" customWidth="1"/>
    <col min="14" max="14" width="30.85546875" style="590" customWidth="1"/>
    <col min="15" max="15" width="25" style="590" bestFit="1" customWidth="1"/>
    <col min="16" max="17" width="14.140625" style="590" customWidth="1"/>
    <col min="18" max="136" width="9.140625" style="647"/>
    <col min="137" max="16384" width="9.140625" style="590"/>
  </cols>
  <sheetData>
    <row r="1" spans="1:136" s="585" customFormat="1" ht="18.75">
      <c r="A1" s="584" t="s">
        <v>171</v>
      </c>
    </row>
    <row r="2" spans="1:136" s="585" customFormat="1">
      <c r="A2" s="586" t="s">
        <v>709</v>
      </c>
      <c r="I2" s="699"/>
    </row>
    <row r="3" spans="1:136">
      <c r="I3" s="700"/>
    </row>
    <row r="4" spans="1:136" ht="18.75">
      <c r="A4" s="587" t="s">
        <v>475</v>
      </c>
      <c r="B4" s="588"/>
      <c r="C4" s="588"/>
      <c r="D4" s="588"/>
      <c r="E4" s="588"/>
      <c r="F4" s="588"/>
      <c r="G4" s="589"/>
      <c r="I4" s="587" t="s">
        <v>707</v>
      </c>
      <c r="J4" s="588"/>
      <c r="K4" s="588"/>
      <c r="L4" s="588"/>
      <c r="M4" s="588"/>
      <c r="N4" s="588"/>
      <c r="O4" s="589"/>
    </row>
    <row r="5" spans="1:136">
      <c r="A5" s="591" t="s">
        <v>172</v>
      </c>
      <c r="B5" s="592"/>
      <c r="C5" s="592"/>
      <c r="D5" s="592"/>
      <c r="E5" s="592"/>
      <c r="F5" s="592"/>
      <c r="G5" s="593"/>
      <c r="I5" s="591" t="s">
        <v>172</v>
      </c>
      <c r="J5" s="592"/>
      <c r="K5" s="592"/>
      <c r="L5" s="592"/>
      <c r="M5" s="592"/>
      <c r="N5" s="592"/>
      <c r="O5" s="593"/>
    </row>
    <row r="6" spans="1:136">
      <c r="A6" s="594" t="s">
        <v>473</v>
      </c>
      <c r="B6" s="595">
        <v>0.1</v>
      </c>
      <c r="C6" s="596" t="s">
        <v>474</v>
      </c>
      <c r="D6" s="596"/>
      <c r="E6" s="596"/>
      <c r="F6" s="597"/>
      <c r="G6" s="598"/>
      <c r="I6" s="594" t="s">
        <v>483</v>
      </c>
      <c r="J6" s="595">
        <v>0.05</v>
      </c>
      <c r="K6" s="596" t="s">
        <v>502</v>
      </c>
      <c r="L6" s="596"/>
      <c r="M6" s="596"/>
      <c r="N6" s="597"/>
      <c r="O6" s="598"/>
    </row>
    <row r="7" spans="1:136">
      <c r="A7" s="594"/>
      <c r="B7" s="599"/>
      <c r="C7" s="596"/>
      <c r="D7" s="596"/>
      <c r="E7" s="596"/>
      <c r="F7" s="596"/>
      <c r="G7" s="598"/>
      <c r="I7" s="594" t="s">
        <v>138</v>
      </c>
      <c r="J7" s="627">
        <f>375%*95%*95%*95%</f>
        <v>3.2151562499999997</v>
      </c>
      <c r="K7" s="596" t="s">
        <v>226</v>
      </c>
      <c r="L7" s="596"/>
      <c r="M7" s="596"/>
      <c r="N7" s="596"/>
      <c r="O7" s="598" t="s">
        <v>500</v>
      </c>
    </row>
    <row r="8" spans="1:136">
      <c r="A8" s="591" t="s">
        <v>175</v>
      </c>
      <c r="B8" s="592"/>
      <c r="C8" s="592"/>
      <c r="D8" s="592"/>
      <c r="E8" s="592"/>
      <c r="F8" s="592"/>
      <c r="G8" s="593"/>
      <c r="I8" s="591" t="s">
        <v>175</v>
      </c>
      <c r="J8" s="592"/>
      <c r="K8" s="592"/>
      <c r="L8" s="592"/>
      <c r="M8" s="592"/>
      <c r="N8" s="592"/>
      <c r="O8" s="593"/>
    </row>
    <row r="9" spans="1:136">
      <c r="A9" s="594" t="s">
        <v>173</v>
      </c>
      <c r="B9" s="596" t="s">
        <v>494</v>
      </c>
      <c r="C9" s="596"/>
      <c r="D9" s="596"/>
      <c r="E9" s="596"/>
      <c r="F9" s="596"/>
      <c r="G9" s="603"/>
      <c r="I9" s="594" t="s">
        <v>173</v>
      </c>
      <c r="J9" s="596" t="s">
        <v>227</v>
      </c>
      <c r="K9" s="596"/>
      <c r="L9" s="596"/>
      <c r="M9" s="596"/>
      <c r="N9" s="596"/>
      <c r="O9" s="598"/>
    </row>
    <row r="10" spans="1:136">
      <c r="A10" s="594"/>
      <c r="B10" s="602" t="s">
        <v>493</v>
      </c>
      <c r="C10" s="596"/>
      <c r="D10" s="596"/>
      <c r="E10" s="596"/>
      <c r="F10" s="596"/>
      <c r="G10" s="603"/>
      <c r="I10" s="594"/>
      <c r="J10" s="596"/>
      <c r="K10" s="596"/>
      <c r="L10" s="596"/>
      <c r="M10" s="596"/>
      <c r="N10" s="596"/>
      <c r="O10" s="598"/>
    </row>
    <row r="11" spans="1:136">
      <c r="A11" s="594" t="s">
        <v>484</v>
      </c>
      <c r="B11" s="627">
        <v>0.3</v>
      </c>
      <c r="C11" s="596" t="s">
        <v>69</v>
      </c>
      <c r="D11" s="701"/>
      <c r="E11" s="596"/>
      <c r="F11" s="596"/>
      <c r="G11" s="702" t="s">
        <v>489</v>
      </c>
      <c r="I11" s="594" t="s">
        <v>167</v>
      </c>
      <c r="J11" s="606">
        <v>15</v>
      </c>
      <c r="K11" s="596" t="s">
        <v>168</v>
      </c>
      <c r="L11" s="596"/>
      <c r="M11" s="596"/>
      <c r="N11" s="596"/>
      <c r="O11" s="598"/>
    </row>
    <row r="12" spans="1:136" s="607" customFormat="1">
      <c r="A12" s="594" t="s">
        <v>167</v>
      </c>
      <c r="B12" s="606">
        <v>15</v>
      </c>
      <c r="C12" s="596" t="s">
        <v>168</v>
      </c>
      <c r="D12" s="596"/>
      <c r="E12" s="596"/>
      <c r="F12" s="596"/>
      <c r="G12" s="703"/>
      <c r="I12" s="594" t="s">
        <v>149</v>
      </c>
      <c r="J12" s="704">
        <f>14000/40000</f>
        <v>0.35</v>
      </c>
      <c r="K12" s="596" t="s">
        <v>504</v>
      </c>
      <c r="L12" s="596"/>
      <c r="M12" s="596"/>
      <c r="N12" s="596"/>
      <c r="O12" s="705" t="s">
        <v>683</v>
      </c>
      <c r="R12" s="706"/>
      <c r="S12" s="706"/>
      <c r="T12" s="706"/>
      <c r="U12" s="706"/>
      <c r="V12" s="706"/>
      <c r="W12" s="706"/>
      <c r="X12" s="706"/>
      <c r="Y12" s="706"/>
      <c r="Z12" s="706"/>
      <c r="AA12" s="706"/>
      <c r="AB12" s="706"/>
      <c r="AC12" s="706"/>
      <c r="AD12" s="706"/>
      <c r="AE12" s="706"/>
      <c r="AF12" s="706"/>
      <c r="AG12" s="706"/>
      <c r="AH12" s="706"/>
      <c r="AI12" s="706"/>
      <c r="AJ12" s="706"/>
      <c r="AK12" s="706"/>
      <c r="AL12" s="706"/>
      <c r="AM12" s="706"/>
      <c r="AN12" s="706"/>
      <c r="AO12" s="706"/>
      <c r="AP12" s="706"/>
      <c r="AQ12" s="706"/>
      <c r="AR12" s="706"/>
      <c r="AS12" s="706"/>
      <c r="AT12" s="706"/>
      <c r="AU12" s="706"/>
      <c r="AV12" s="706"/>
      <c r="AW12" s="706"/>
      <c r="AX12" s="706"/>
      <c r="AY12" s="706"/>
      <c r="AZ12" s="706"/>
      <c r="BA12" s="706"/>
      <c r="BB12" s="706"/>
      <c r="BC12" s="706"/>
      <c r="BD12" s="706"/>
      <c r="BE12" s="706"/>
      <c r="BF12" s="706"/>
      <c r="BG12" s="706"/>
      <c r="BH12" s="706"/>
      <c r="BI12" s="706"/>
      <c r="BJ12" s="706"/>
      <c r="BK12" s="706"/>
      <c r="BL12" s="706"/>
      <c r="BM12" s="706"/>
      <c r="BN12" s="706"/>
      <c r="BO12" s="706"/>
      <c r="BP12" s="706"/>
      <c r="BQ12" s="706"/>
      <c r="BR12" s="706"/>
      <c r="BS12" s="706"/>
      <c r="BT12" s="706"/>
      <c r="BU12" s="706"/>
      <c r="BV12" s="706"/>
      <c r="BW12" s="706"/>
      <c r="BX12" s="706"/>
      <c r="BY12" s="706"/>
      <c r="BZ12" s="706"/>
      <c r="CA12" s="706"/>
      <c r="CB12" s="706"/>
      <c r="CC12" s="706"/>
      <c r="CD12" s="706"/>
      <c r="CE12" s="706"/>
      <c r="CF12" s="706"/>
      <c r="CG12" s="706"/>
      <c r="CH12" s="706"/>
      <c r="CI12" s="706"/>
      <c r="CJ12" s="706"/>
      <c r="CK12" s="706"/>
      <c r="CL12" s="706"/>
      <c r="CM12" s="706"/>
      <c r="CN12" s="706"/>
      <c r="CO12" s="706"/>
      <c r="CP12" s="706"/>
      <c r="CQ12" s="706"/>
      <c r="CR12" s="706"/>
      <c r="CS12" s="706"/>
      <c r="CT12" s="706"/>
      <c r="CU12" s="706"/>
      <c r="CV12" s="706"/>
      <c r="CW12" s="706"/>
      <c r="CX12" s="706"/>
      <c r="CY12" s="706"/>
      <c r="CZ12" s="706"/>
      <c r="DA12" s="706"/>
      <c r="DB12" s="706"/>
      <c r="DC12" s="706"/>
      <c r="DD12" s="706"/>
      <c r="DE12" s="706"/>
      <c r="DF12" s="706"/>
      <c r="DG12" s="706"/>
      <c r="DH12" s="706"/>
      <c r="DI12" s="706"/>
      <c r="DJ12" s="706"/>
      <c r="DK12" s="706"/>
      <c r="DL12" s="706"/>
      <c r="DM12" s="706"/>
      <c r="DN12" s="706"/>
      <c r="DO12" s="706"/>
      <c r="DP12" s="706"/>
      <c r="DQ12" s="706"/>
      <c r="DR12" s="706"/>
      <c r="DS12" s="706"/>
      <c r="DT12" s="706"/>
      <c r="DU12" s="706"/>
      <c r="DV12" s="706"/>
      <c r="DW12" s="706"/>
      <c r="DX12" s="706"/>
      <c r="DY12" s="706"/>
      <c r="DZ12" s="706"/>
      <c r="EA12" s="706"/>
      <c r="EB12" s="706"/>
      <c r="EC12" s="706"/>
      <c r="ED12" s="706"/>
      <c r="EE12" s="706"/>
      <c r="EF12" s="706"/>
    </row>
    <row r="13" spans="1:136" ht="15.75" customHeight="1">
      <c r="A13" s="594" t="s">
        <v>485</v>
      </c>
      <c r="B13" s="596">
        <f>1.05</f>
        <v>1.05</v>
      </c>
      <c r="C13" s="596" t="s">
        <v>476</v>
      </c>
      <c r="D13" s="596"/>
      <c r="E13" s="596"/>
      <c r="F13" s="596"/>
      <c r="G13" s="703" t="s">
        <v>489</v>
      </c>
      <c r="I13" s="591" t="s">
        <v>176</v>
      </c>
      <c r="J13" s="592"/>
      <c r="K13" s="592"/>
      <c r="L13" s="592"/>
      <c r="M13" s="592"/>
      <c r="N13" s="592"/>
      <c r="O13" s="593"/>
    </row>
    <row r="14" spans="1:136">
      <c r="A14" s="591" t="s">
        <v>180</v>
      </c>
      <c r="B14" s="592"/>
      <c r="C14" s="592"/>
      <c r="D14" s="592"/>
      <c r="E14" s="592"/>
      <c r="F14" s="592"/>
      <c r="G14" s="593"/>
      <c r="H14" s="610"/>
      <c r="I14" s="594" t="s">
        <v>141</v>
      </c>
      <c r="J14" s="629">
        <f>J16*B64/J7</f>
        <v>496.92676387224327</v>
      </c>
      <c r="K14" s="596" t="s">
        <v>708</v>
      </c>
      <c r="L14" s="596"/>
      <c r="M14" s="596"/>
      <c r="N14" s="596"/>
      <c r="O14" s="598"/>
    </row>
    <row r="15" spans="1:136">
      <c r="A15" s="594" t="s">
        <v>141</v>
      </c>
      <c r="B15" s="707">
        <f>B11*B6*SUM(Q121,Q123)</f>
        <v>2043.9611186034376</v>
      </c>
      <c r="C15" s="596" t="s">
        <v>30</v>
      </c>
      <c r="D15" s="596"/>
      <c r="E15" s="596"/>
      <c r="F15" s="596"/>
      <c r="G15" s="598"/>
      <c r="I15" s="594"/>
      <c r="J15" s="606">
        <f>J14*(J7-100%)</f>
        <v>1100.7704267838737</v>
      </c>
      <c r="K15" s="596" t="s">
        <v>159</v>
      </c>
      <c r="L15" s="596"/>
      <c r="M15" s="596"/>
      <c r="N15" s="596"/>
      <c r="O15" s="598"/>
    </row>
    <row r="16" spans="1:136">
      <c r="A16" s="594" t="s">
        <v>478</v>
      </c>
      <c r="B16" s="616">
        <f>B15*B67*1000</f>
        <v>211781.51515657522</v>
      </c>
      <c r="C16" s="596" t="s">
        <v>479</v>
      </c>
      <c r="D16" s="596"/>
      <c r="E16" s="596"/>
      <c r="F16" s="596"/>
      <c r="G16" s="598"/>
      <c r="I16" s="594"/>
      <c r="J16" s="606">
        <f>J6*Q121</f>
        <v>2059.6437376760782</v>
      </c>
      <c r="K16" s="596" t="s">
        <v>508</v>
      </c>
      <c r="L16" s="596"/>
      <c r="M16" s="596"/>
      <c r="N16" s="596"/>
      <c r="O16" s="598"/>
    </row>
    <row r="17" spans="1:23">
      <c r="A17" s="594" t="s">
        <v>480</v>
      </c>
      <c r="B17" s="616">
        <f>B13*B15*1000</f>
        <v>2146159.1745336093</v>
      </c>
      <c r="C17" s="596" t="s">
        <v>481</v>
      </c>
      <c r="D17" s="596"/>
      <c r="E17" s="596"/>
      <c r="F17" s="596"/>
      <c r="G17" s="598"/>
      <c r="I17" s="594" t="s">
        <v>478</v>
      </c>
      <c r="J17" s="708">
        <f>J16*B68*1000-B69*1000*J14</f>
        <v>18500.046325243704</v>
      </c>
      <c r="K17" s="596" t="s">
        <v>479</v>
      </c>
      <c r="L17" s="596"/>
      <c r="M17" s="596"/>
      <c r="N17" s="596"/>
      <c r="O17" s="598"/>
    </row>
    <row r="18" spans="1:23">
      <c r="A18" s="594" t="s">
        <v>145</v>
      </c>
      <c r="B18" s="709">
        <f>B15*B60</f>
        <v>423.16826828410296</v>
      </c>
      <c r="C18" s="596" t="s">
        <v>181</v>
      </c>
      <c r="D18" s="596"/>
      <c r="E18" s="596"/>
      <c r="F18" s="596"/>
      <c r="G18" s="598"/>
      <c r="I18" s="594" t="s">
        <v>507</v>
      </c>
      <c r="J18" s="710">
        <f>J12*(J15+J14)*1000</f>
        <v>559194.01672964089</v>
      </c>
      <c r="K18" s="596" t="s">
        <v>481</v>
      </c>
      <c r="O18" s="598"/>
    </row>
    <row r="19" spans="1:23">
      <c r="A19" s="594" t="s">
        <v>146</v>
      </c>
      <c r="B19" s="711">
        <f>(-PMT($B$65,B12,B17)-B16)/B18</f>
        <v>-44.317116460094013</v>
      </c>
      <c r="C19" s="596" t="s">
        <v>164</v>
      </c>
      <c r="D19" s="596"/>
      <c r="E19" s="596"/>
      <c r="F19" s="596"/>
      <c r="G19" s="598"/>
      <c r="I19" s="594" t="s">
        <v>161</v>
      </c>
      <c r="J19" s="606">
        <f>J14*B62</f>
        <v>102.02485493611169</v>
      </c>
      <c r="K19" s="596" t="s">
        <v>156</v>
      </c>
      <c r="L19" s="596"/>
      <c r="M19" s="596"/>
      <c r="N19" s="596"/>
      <c r="O19" s="598"/>
    </row>
    <row r="20" spans="1:23">
      <c r="A20" s="591" t="s">
        <v>207</v>
      </c>
      <c r="B20" s="592"/>
      <c r="C20" s="592"/>
      <c r="D20" s="592"/>
      <c r="E20" s="592"/>
      <c r="F20" s="592"/>
      <c r="G20" s="593"/>
      <c r="H20" s="610"/>
      <c r="I20" s="594"/>
      <c r="J20" s="606">
        <f>J16*B61</f>
        <v>428.73424864815723</v>
      </c>
      <c r="K20" s="596" t="s">
        <v>509</v>
      </c>
      <c r="L20" s="596"/>
      <c r="M20" s="596"/>
      <c r="N20" s="596"/>
      <c r="O20" s="598"/>
    </row>
    <row r="21" spans="1:23">
      <c r="A21" s="618" t="s">
        <v>486</v>
      </c>
      <c r="B21" s="619"/>
      <c r="C21" s="620"/>
      <c r="D21" s="620"/>
      <c r="E21" s="620"/>
      <c r="F21" s="620"/>
      <c r="G21" s="621"/>
      <c r="I21" s="594"/>
      <c r="J21" s="616">
        <f>J20-J19</f>
        <v>326.70939371204554</v>
      </c>
      <c r="K21" s="596" t="s">
        <v>165</v>
      </c>
      <c r="L21" s="596"/>
      <c r="M21" s="596"/>
      <c r="N21" s="596"/>
      <c r="O21" s="598"/>
    </row>
    <row r="22" spans="1:23">
      <c r="A22" s="594" t="s">
        <v>487</v>
      </c>
      <c r="B22" s="616"/>
      <c r="C22" s="596"/>
      <c r="D22" s="596"/>
      <c r="E22" s="596"/>
      <c r="F22" s="596"/>
      <c r="G22" s="598"/>
      <c r="I22" s="611" t="s">
        <v>146</v>
      </c>
      <c r="J22" s="630">
        <f>(-PMT($B$65,J11,J18)-J17)/J21</f>
        <v>97.317308507840295</v>
      </c>
      <c r="K22" s="613" t="s">
        <v>164</v>
      </c>
      <c r="L22" s="613"/>
      <c r="M22" s="613"/>
      <c r="N22" s="613"/>
      <c r="O22" s="614"/>
    </row>
    <row r="23" spans="1:23">
      <c r="A23" s="622" t="s">
        <v>488</v>
      </c>
      <c r="B23" s="623"/>
      <c r="C23" s="624"/>
      <c r="D23" s="624"/>
      <c r="E23" s="624"/>
      <c r="F23" s="624"/>
      <c r="G23" s="625"/>
      <c r="I23" s="591" t="s">
        <v>207</v>
      </c>
      <c r="J23" s="592"/>
      <c r="K23" s="592"/>
      <c r="L23" s="592"/>
      <c r="M23" s="592"/>
      <c r="N23" s="592"/>
      <c r="O23" s="593"/>
    </row>
    <row r="24" spans="1:23">
      <c r="A24" s="596"/>
      <c r="B24" s="616"/>
      <c r="C24" s="596"/>
      <c r="D24" s="596"/>
      <c r="E24" s="596"/>
      <c r="F24" s="596"/>
      <c r="G24" s="596"/>
      <c r="I24" s="618" t="s">
        <v>228</v>
      </c>
      <c r="J24" s="619"/>
      <c r="K24" s="620"/>
      <c r="L24" s="620"/>
      <c r="M24" s="620"/>
      <c r="N24" s="620"/>
      <c r="O24" s="621"/>
      <c r="Q24" s="596"/>
      <c r="R24" s="616"/>
      <c r="S24" s="596"/>
      <c r="T24" s="596"/>
      <c r="U24" s="596"/>
      <c r="V24" s="596"/>
      <c r="W24" s="596"/>
    </row>
    <row r="25" spans="1:23">
      <c r="A25" s="596"/>
      <c r="B25" s="616"/>
      <c r="C25" s="596"/>
      <c r="D25" s="596"/>
      <c r="E25" s="596"/>
      <c r="F25" s="596"/>
      <c r="G25" s="596"/>
      <c r="I25" s="611" t="s">
        <v>506</v>
      </c>
      <c r="O25" s="598" t="s">
        <v>505</v>
      </c>
      <c r="Q25" s="596"/>
      <c r="R25" s="616"/>
      <c r="S25" s="596"/>
      <c r="T25" s="596"/>
      <c r="U25" s="596"/>
      <c r="V25" s="596"/>
      <c r="W25" s="596"/>
    </row>
    <row r="26" spans="1:23">
      <c r="A26" s="596"/>
      <c r="B26" s="616"/>
      <c r="C26" s="596"/>
      <c r="D26" s="596"/>
      <c r="E26" s="596"/>
      <c r="F26" s="596"/>
      <c r="G26" s="596"/>
      <c r="I26" s="622" t="s">
        <v>501</v>
      </c>
      <c r="J26" s="623"/>
      <c r="K26" s="624"/>
      <c r="L26" s="624"/>
      <c r="M26" s="624"/>
      <c r="N26" s="624"/>
      <c r="O26" s="625"/>
      <c r="Q26" s="596"/>
      <c r="R26" s="616"/>
      <c r="S26" s="596"/>
      <c r="T26" s="596"/>
      <c r="U26" s="596"/>
      <c r="V26" s="596"/>
      <c r="W26" s="596"/>
    </row>
    <row r="27" spans="1:23">
      <c r="A27" s="596"/>
      <c r="B27" s="616"/>
      <c r="C27" s="596"/>
      <c r="D27" s="596"/>
      <c r="E27" s="596"/>
      <c r="F27" s="596"/>
      <c r="G27" s="596"/>
      <c r="Q27" s="596"/>
      <c r="R27" s="616"/>
      <c r="S27" s="596"/>
      <c r="T27" s="596"/>
      <c r="U27" s="596"/>
      <c r="V27" s="596"/>
      <c r="W27" s="596"/>
    </row>
    <row r="28" spans="1:23">
      <c r="A28" s="596"/>
      <c r="B28" s="616"/>
      <c r="C28" s="596"/>
      <c r="D28" s="596"/>
      <c r="E28" s="596"/>
      <c r="F28" s="596"/>
      <c r="G28" s="596"/>
      <c r="Q28" s="596"/>
      <c r="R28" s="616"/>
      <c r="S28" s="596"/>
      <c r="T28" s="596"/>
      <c r="U28" s="596"/>
      <c r="V28" s="596"/>
      <c r="W28" s="596"/>
    </row>
    <row r="29" spans="1:23">
      <c r="A29" s="596"/>
      <c r="B29" s="616"/>
      <c r="C29" s="596"/>
      <c r="D29" s="596"/>
      <c r="E29" s="596"/>
      <c r="F29" s="596"/>
      <c r="G29" s="596"/>
      <c r="I29" s="596"/>
      <c r="J29" s="616"/>
      <c r="K29" s="596"/>
      <c r="L29" s="596"/>
      <c r="M29" s="596"/>
      <c r="N29" s="596"/>
      <c r="O29" s="596"/>
      <c r="Q29" s="596"/>
      <c r="R29" s="616"/>
      <c r="S29" s="596"/>
      <c r="T29" s="596"/>
      <c r="U29" s="596"/>
      <c r="V29" s="596"/>
      <c r="W29" s="596"/>
    </row>
    <row r="30" spans="1:23" s="585" customFormat="1" ht="18.75">
      <c r="A30" s="584" t="s">
        <v>185</v>
      </c>
      <c r="B30" s="631" t="s">
        <v>696</v>
      </c>
      <c r="C30" s="632"/>
    </row>
    <row r="53" spans="1:136" s="638" customFormat="1" ht="30">
      <c r="A53" s="633"/>
      <c r="B53" s="634" t="s">
        <v>186</v>
      </c>
      <c r="C53" s="635" t="s">
        <v>169</v>
      </c>
      <c r="D53" s="635" t="s">
        <v>482</v>
      </c>
      <c r="E53" s="635" t="s">
        <v>236</v>
      </c>
      <c r="F53" s="637"/>
      <c r="G53" s="637"/>
      <c r="R53" s="712"/>
      <c r="S53" s="712"/>
      <c r="T53" s="712"/>
      <c r="U53" s="712"/>
      <c r="V53" s="712"/>
      <c r="W53" s="712"/>
      <c r="X53" s="712"/>
      <c r="Y53" s="712"/>
      <c r="Z53" s="712"/>
      <c r="AA53" s="712"/>
      <c r="AB53" s="712"/>
      <c r="AC53" s="712"/>
      <c r="AD53" s="712"/>
      <c r="AE53" s="712"/>
      <c r="AF53" s="712"/>
      <c r="AG53" s="712"/>
      <c r="AH53" s="712"/>
      <c r="AI53" s="712"/>
      <c r="AJ53" s="712"/>
      <c r="AK53" s="712"/>
      <c r="AL53" s="712"/>
      <c r="AM53" s="712"/>
      <c r="AN53" s="712"/>
      <c r="AO53" s="712"/>
      <c r="AP53" s="712"/>
      <c r="AQ53" s="712"/>
      <c r="AR53" s="712"/>
      <c r="AS53" s="712"/>
      <c r="AT53" s="712"/>
      <c r="AU53" s="712"/>
      <c r="AV53" s="712"/>
      <c r="AW53" s="712"/>
      <c r="AX53" s="712"/>
      <c r="AY53" s="712"/>
      <c r="AZ53" s="712"/>
      <c r="BA53" s="712"/>
      <c r="BB53" s="712"/>
      <c r="BC53" s="712"/>
      <c r="BD53" s="712"/>
      <c r="BE53" s="712"/>
      <c r="BF53" s="712"/>
      <c r="BG53" s="712"/>
      <c r="BH53" s="712"/>
      <c r="BI53" s="712"/>
      <c r="BJ53" s="712"/>
      <c r="BK53" s="712"/>
      <c r="BL53" s="712"/>
      <c r="BM53" s="712"/>
      <c r="BN53" s="712"/>
      <c r="BO53" s="712"/>
      <c r="BP53" s="712"/>
      <c r="BQ53" s="712"/>
      <c r="BR53" s="712"/>
      <c r="BS53" s="712"/>
      <c r="BT53" s="712"/>
      <c r="BU53" s="712"/>
      <c r="BV53" s="712"/>
      <c r="BW53" s="712"/>
      <c r="BX53" s="712"/>
      <c r="BY53" s="712"/>
      <c r="BZ53" s="712"/>
      <c r="CA53" s="712"/>
      <c r="CB53" s="712"/>
      <c r="CC53" s="712"/>
      <c r="CD53" s="712"/>
      <c r="CE53" s="712"/>
      <c r="CF53" s="712"/>
      <c r="CG53" s="712"/>
      <c r="CH53" s="712"/>
      <c r="CI53" s="712"/>
      <c r="CJ53" s="712"/>
      <c r="CK53" s="712"/>
      <c r="CL53" s="712"/>
      <c r="CM53" s="712"/>
      <c r="CN53" s="712"/>
      <c r="CO53" s="712"/>
      <c r="CP53" s="712"/>
      <c r="CQ53" s="712"/>
      <c r="CR53" s="712"/>
      <c r="CS53" s="712"/>
      <c r="CT53" s="712"/>
      <c r="CU53" s="712"/>
      <c r="CV53" s="712"/>
      <c r="CW53" s="712"/>
      <c r="CX53" s="712"/>
      <c r="CY53" s="712"/>
      <c r="CZ53" s="712"/>
      <c r="DA53" s="712"/>
      <c r="DB53" s="712"/>
      <c r="DC53" s="712"/>
      <c r="DD53" s="712"/>
      <c r="DE53" s="712"/>
      <c r="DF53" s="712"/>
      <c r="DG53" s="712"/>
      <c r="DH53" s="712"/>
      <c r="DI53" s="712"/>
      <c r="DJ53" s="712"/>
      <c r="DK53" s="712"/>
      <c r="DL53" s="712"/>
      <c r="DM53" s="712"/>
      <c r="DN53" s="712"/>
      <c r="DO53" s="712"/>
      <c r="DP53" s="712"/>
      <c r="DQ53" s="712"/>
      <c r="DR53" s="712"/>
      <c r="DS53" s="712"/>
      <c r="DT53" s="712"/>
      <c r="DU53" s="712"/>
      <c r="DV53" s="712"/>
      <c r="DW53" s="712"/>
      <c r="DX53" s="712"/>
      <c r="DY53" s="712"/>
      <c r="DZ53" s="712"/>
      <c r="EA53" s="712"/>
      <c r="EB53" s="712"/>
      <c r="EC53" s="712"/>
      <c r="ED53" s="712"/>
      <c r="EE53" s="712"/>
      <c r="EF53" s="712"/>
    </row>
    <row r="54" spans="1:136">
      <c r="A54" s="633" t="s">
        <v>232</v>
      </c>
      <c r="B54" s="639">
        <f>SUM('Nulmeting 2011'!B22:P22)</f>
        <v>14753.427283440975</v>
      </c>
      <c r="C54" s="639">
        <f>SUM(Q133:Q135)</f>
        <v>14173.742994295226</v>
      </c>
      <c r="D54" s="639">
        <f>C54-B18</f>
        <v>13750.574726011122</v>
      </c>
      <c r="E54" s="639">
        <f>$C$54-J21</f>
        <v>13847.03360058318</v>
      </c>
    </row>
    <row r="55" spans="1:136">
      <c r="A55" s="641" t="s">
        <v>723</v>
      </c>
      <c r="B55" s="642"/>
      <c r="C55" s="642"/>
      <c r="D55" s="643">
        <f>D54/C54-1</f>
        <v>-2.9855788160856656E-2</v>
      </c>
      <c r="E55" s="643">
        <f>E54/C54-1</f>
        <v>-2.305032579210331E-2</v>
      </c>
    </row>
    <row r="56" spans="1:136">
      <c r="A56" s="644" t="s">
        <v>724</v>
      </c>
      <c r="B56" s="645"/>
      <c r="C56" s="645"/>
      <c r="D56" s="646">
        <f>D54/B54-1</f>
        <v>-6.7974209528618434E-2</v>
      </c>
      <c r="E56" s="646">
        <f>E54/B54-1</f>
        <v>-6.1436143985005964E-2</v>
      </c>
    </row>
    <row r="58" spans="1:136" s="649" customFormat="1">
      <c r="A58" s="648" t="s">
        <v>183</v>
      </c>
      <c r="B58" s="648"/>
      <c r="C58" s="648"/>
      <c r="D58" s="648"/>
      <c r="E58" s="648"/>
      <c r="F58" s="648"/>
      <c r="G58" s="648"/>
      <c r="H58" s="648"/>
      <c r="I58" s="648"/>
      <c r="J58" s="648"/>
      <c r="K58" s="648"/>
      <c r="L58" s="648"/>
      <c r="M58" s="648"/>
      <c r="N58" s="648"/>
      <c r="O58" s="648"/>
      <c r="P58" s="648"/>
      <c r="Q58" s="648"/>
    </row>
    <row r="59" spans="1:136" s="654" customFormat="1">
      <c r="A59" s="650" t="s">
        <v>144</v>
      </c>
      <c r="B59" s="650"/>
      <c r="C59" s="650"/>
      <c r="D59" s="650"/>
      <c r="E59" s="650"/>
      <c r="F59" s="651"/>
      <c r="G59" s="651"/>
      <c r="H59" s="651"/>
      <c r="I59" s="650"/>
      <c r="J59" s="650"/>
      <c r="K59" s="650"/>
      <c r="L59" s="650"/>
      <c r="M59" s="650"/>
      <c r="N59" s="650"/>
      <c r="O59" s="650"/>
      <c r="P59" s="650"/>
      <c r="Q59" s="650"/>
      <c r="R59" s="652"/>
      <c r="S59" s="652"/>
      <c r="T59" s="652"/>
      <c r="U59" s="652"/>
      <c r="V59" s="652"/>
      <c r="W59" s="652"/>
      <c r="X59" s="652"/>
      <c r="Y59" s="652"/>
      <c r="Z59" s="653"/>
      <c r="AA59" s="653"/>
      <c r="AB59" s="653"/>
      <c r="AC59" s="653"/>
      <c r="AD59" s="653"/>
      <c r="AE59" s="653"/>
      <c r="AF59" s="653"/>
      <c r="AG59" s="653"/>
      <c r="AH59" s="653"/>
      <c r="AI59" s="653"/>
      <c r="AJ59" s="653"/>
      <c r="AK59" s="653"/>
      <c r="AL59" s="653"/>
      <c r="AM59" s="653"/>
      <c r="AN59" s="653"/>
      <c r="AO59" s="653"/>
      <c r="AP59" s="653"/>
      <c r="AQ59" s="653"/>
      <c r="AR59" s="653"/>
      <c r="AS59" s="653"/>
      <c r="AT59" s="653"/>
      <c r="AU59" s="653"/>
      <c r="AV59" s="653"/>
      <c r="AW59" s="653"/>
      <c r="AX59" s="653"/>
      <c r="AY59" s="653"/>
      <c r="AZ59" s="653"/>
      <c r="BA59" s="653"/>
      <c r="BB59" s="653"/>
      <c r="BC59" s="653"/>
      <c r="BD59" s="653"/>
      <c r="BE59" s="653"/>
      <c r="BF59" s="653"/>
      <c r="BG59" s="653"/>
      <c r="BH59" s="653"/>
      <c r="BI59" s="653"/>
      <c r="BJ59" s="653"/>
      <c r="BK59" s="653"/>
      <c r="BL59" s="653"/>
      <c r="BM59" s="653"/>
      <c r="BN59" s="653"/>
      <c r="BO59" s="653"/>
      <c r="BP59" s="653"/>
      <c r="BQ59" s="653"/>
      <c r="BR59" s="653"/>
      <c r="BS59" s="653"/>
      <c r="BT59" s="653"/>
      <c r="BU59" s="653"/>
      <c r="BV59" s="653"/>
      <c r="BW59" s="653"/>
      <c r="BX59" s="653"/>
      <c r="BY59" s="653"/>
      <c r="BZ59" s="653"/>
      <c r="CA59" s="653"/>
      <c r="CB59" s="653"/>
      <c r="CC59" s="653"/>
      <c r="CD59" s="653"/>
      <c r="CE59" s="653"/>
      <c r="CF59" s="653"/>
      <c r="CG59" s="653"/>
      <c r="CH59" s="653"/>
      <c r="CI59" s="653"/>
      <c r="CJ59" s="653"/>
      <c r="CK59" s="653"/>
      <c r="CL59" s="653"/>
      <c r="CM59" s="653"/>
      <c r="CN59" s="653"/>
      <c r="CO59" s="653"/>
      <c r="CP59" s="653"/>
      <c r="CQ59" s="653"/>
      <c r="CR59" s="653"/>
      <c r="CS59" s="653"/>
      <c r="CT59" s="653"/>
      <c r="CU59" s="653"/>
      <c r="CV59" s="653"/>
      <c r="CW59" s="653"/>
      <c r="CX59" s="653"/>
      <c r="CY59" s="653"/>
      <c r="CZ59" s="653"/>
      <c r="DA59" s="653"/>
      <c r="DB59" s="653"/>
      <c r="DC59" s="653"/>
      <c r="DD59" s="653"/>
      <c r="DE59" s="653"/>
      <c r="DF59" s="653"/>
      <c r="DG59" s="653"/>
      <c r="DH59" s="653"/>
      <c r="DI59" s="653"/>
      <c r="DJ59" s="653"/>
      <c r="DK59" s="653"/>
      <c r="DL59" s="653"/>
      <c r="DM59" s="653"/>
      <c r="DN59" s="653"/>
      <c r="DO59" s="653"/>
      <c r="DP59" s="653"/>
      <c r="DQ59" s="653"/>
      <c r="DR59" s="653"/>
      <c r="DS59" s="653"/>
      <c r="DT59" s="653"/>
      <c r="DU59" s="653"/>
      <c r="DV59" s="653"/>
      <c r="DW59" s="653"/>
      <c r="DX59" s="653"/>
      <c r="DY59" s="653"/>
      <c r="DZ59" s="653"/>
      <c r="EA59" s="653"/>
      <c r="EB59" s="653"/>
      <c r="EC59" s="653"/>
      <c r="ED59" s="653"/>
      <c r="EE59" s="653"/>
      <c r="EF59" s="653"/>
    </row>
    <row r="60" spans="1:136">
      <c r="A60" s="651" t="s">
        <v>477</v>
      </c>
      <c r="B60" s="655">
        <f>SUM(Q133,Q135)/SUM(Q121,Q123)</f>
        <v>0.20703342369508382</v>
      </c>
      <c r="C60" s="651" t="s">
        <v>143</v>
      </c>
      <c r="D60" s="651" t="s">
        <v>170</v>
      </c>
      <c r="E60" s="651"/>
      <c r="F60" s="651"/>
      <c r="G60" s="651"/>
      <c r="H60" s="651"/>
      <c r="I60" s="651"/>
      <c r="J60" s="651"/>
      <c r="K60" s="651"/>
      <c r="L60" s="651"/>
      <c r="M60" s="651"/>
      <c r="N60" s="651"/>
      <c r="O60" s="651"/>
      <c r="P60" s="651"/>
      <c r="Q60" s="651"/>
      <c r="R60" s="656"/>
      <c r="S60" s="656"/>
      <c r="T60" s="656"/>
      <c r="U60" s="656"/>
      <c r="V60" s="656"/>
      <c r="W60" s="656"/>
      <c r="X60" s="656"/>
      <c r="Y60" s="656"/>
    </row>
    <row r="61" spans="1:136">
      <c r="A61" s="651" t="s">
        <v>503</v>
      </c>
      <c r="B61" s="655">
        <f>Q133/Q121</f>
        <v>0.20815942136279522</v>
      </c>
      <c r="C61" s="651" t="s">
        <v>143</v>
      </c>
      <c r="D61" s="651" t="s">
        <v>151</v>
      </c>
      <c r="E61" s="651"/>
      <c r="F61" s="651"/>
      <c r="G61" s="651"/>
      <c r="H61" s="651"/>
      <c r="I61" s="651"/>
      <c r="J61" s="651"/>
      <c r="K61" s="651"/>
      <c r="L61" s="651"/>
      <c r="M61" s="651"/>
      <c r="N61" s="651"/>
      <c r="O61" s="651"/>
      <c r="P61" s="651"/>
      <c r="Q61" s="651"/>
      <c r="R61" s="656"/>
      <c r="S61" s="656"/>
      <c r="T61" s="656"/>
      <c r="U61" s="656"/>
      <c r="V61" s="656"/>
      <c r="W61" s="656"/>
      <c r="X61" s="656"/>
      <c r="Y61" s="656"/>
    </row>
    <row r="62" spans="1:136">
      <c r="A62" s="651" t="s">
        <v>2</v>
      </c>
      <c r="B62" s="655">
        <f>B127</f>
        <v>0.20531165224649006</v>
      </c>
      <c r="C62" s="651" t="s">
        <v>143</v>
      </c>
      <c r="D62" s="651" t="s">
        <v>151</v>
      </c>
      <c r="E62" s="651"/>
      <c r="F62" s="651"/>
      <c r="G62" s="651"/>
      <c r="H62" s="651"/>
      <c r="I62" s="651"/>
      <c r="J62" s="651"/>
      <c r="K62" s="651"/>
      <c r="L62" s="651"/>
      <c r="M62" s="651"/>
      <c r="N62" s="651"/>
      <c r="O62" s="651"/>
      <c r="P62" s="651"/>
      <c r="Q62" s="651"/>
      <c r="R62" s="656"/>
      <c r="S62" s="656"/>
      <c r="T62" s="656"/>
      <c r="U62" s="656"/>
      <c r="V62" s="656"/>
      <c r="W62" s="656"/>
      <c r="X62" s="656"/>
      <c r="Y62" s="656"/>
    </row>
    <row r="63" spans="1:136">
      <c r="A63" s="650" t="s">
        <v>150</v>
      </c>
      <c r="B63" s="655"/>
      <c r="C63" s="651"/>
      <c r="D63" s="651"/>
      <c r="E63" s="651"/>
      <c r="F63" s="651"/>
      <c r="G63" s="651"/>
      <c r="H63" s="651"/>
      <c r="I63" s="651"/>
      <c r="J63" s="651"/>
      <c r="K63" s="651"/>
      <c r="L63" s="651"/>
      <c r="M63" s="651"/>
      <c r="N63" s="651"/>
      <c r="O63" s="651"/>
      <c r="P63" s="651"/>
      <c r="Q63" s="651"/>
      <c r="R63" s="656"/>
      <c r="S63" s="656"/>
      <c r="T63" s="656"/>
      <c r="U63" s="656"/>
      <c r="V63" s="656"/>
      <c r="W63" s="656"/>
      <c r="X63" s="656"/>
      <c r="Y63" s="656"/>
    </row>
    <row r="64" spans="1:136">
      <c r="A64" s="651" t="s">
        <v>472</v>
      </c>
      <c r="B64" s="657">
        <f>D102</f>
        <v>0.7757153149499626</v>
      </c>
      <c r="C64" s="651"/>
      <c r="D64" s="651" t="s">
        <v>510</v>
      </c>
      <c r="E64" s="651"/>
      <c r="F64" s="651"/>
      <c r="G64" s="651"/>
      <c r="H64" s="651"/>
      <c r="I64" s="651"/>
      <c r="J64" s="651"/>
      <c r="K64" s="651"/>
      <c r="L64" s="651"/>
      <c r="M64" s="651"/>
      <c r="N64" s="651"/>
      <c r="O64" s="651"/>
      <c r="P64" s="651"/>
      <c r="Q64" s="651"/>
      <c r="R64" s="656"/>
      <c r="S64" s="656"/>
      <c r="T64" s="656"/>
      <c r="U64" s="656"/>
      <c r="V64" s="656"/>
      <c r="W64" s="656"/>
      <c r="X64" s="656"/>
      <c r="Y64" s="656"/>
    </row>
    <row r="65" spans="1:25">
      <c r="A65" s="650" t="s">
        <v>166</v>
      </c>
      <c r="B65" s="657">
        <f>'energieprijs en discontovoet'!C39</f>
        <v>0.04</v>
      </c>
      <c r="C65" s="651"/>
      <c r="D65" s="651" t="s">
        <v>335</v>
      </c>
      <c r="E65" s="651"/>
      <c r="F65" s="651"/>
      <c r="G65" s="651"/>
      <c r="H65" s="651"/>
      <c r="I65" s="651"/>
      <c r="J65" s="651"/>
      <c r="K65" s="651"/>
      <c r="L65" s="651"/>
      <c r="M65" s="651"/>
      <c r="N65" s="651"/>
      <c r="O65" s="651"/>
      <c r="P65" s="651"/>
      <c r="Q65" s="651"/>
      <c r="R65" s="656"/>
      <c r="S65" s="656"/>
      <c r="T65" s="656"/>
      <c r="U65" s="656"/>
      <c r="V65" s="656"/>
      <c r="W65" s="656"/>
      <c r="X65" s="656"/>
      <c r="Y65" s="656"/>
    </row>
    <row r="66" spans="1:25">
      <c r="A66" s="650" t="s">
        <v>231</v>
      </c>
      <c r="B66" s="655"/>
      <c r="C66" s="651"/>
      <c r="D66" s="651"/>
      <c r="E66" s="651"/>
      <c r="F66" s="651"/>
      <c r="G66" s="651"/>
      <c r="H66" s="651"/>
      <c r="I66" s="651"/>
      <c r="J66" s="651"/>
      <c r="K66" s="651"/>
      <c r="L66" s="651"/>
      <c r="M66" s="651"/>
      <c r="N66" s="651"/>
      <c r="O66" s="651"/>
      <c r="P66" s="651"/>
      <c r="Q66" s="651"/>
      <c r="R66" s="656"/>
      <c r="S66" s="656"/>
      <c r="T66" s="656"/>
      <c r="U66" s="656"/>
      <c r="V66" s="656"/>
      <c r="W66" s="656"/>
      <c r="X66" s="656"/>
      <c r="Y66" s="656"/>
    </row>
    <row r="67" spans="1:25">
      <c r="A67" s="651" t="s">
        <v>477</v>
      </c>
      <c r="B67" s="655">
        <f>(B123*'energieprijs en discontovoet'!B13+'energieprijs en discontovoet'!B14*'MTRG TERTIAIR'!D121+'MTRG TERTIAIR'!F121*'energieprijs en discontovoet'!B15)/SUM('MTRG TERTIAIR'!B123,'MTRG TERTIAIR'!D121,'MTRG TERTIAIR'!F121)</f>
        <v>0.10361327973854885</v>
      </c>
      <c r="C67" s="651" t="s">
        <v>404</v>
      </c>
      <c r="D67" s="651" t="s">
        <v>335</v>
      </c>
      <c r="E67" s="651"/>
      <c r="F67" s="651"/>
      <c r="G67" s="651"/>
      <c r="H67" s="651"/>
      <c r="I67" s="651"/>
      <c r="J67" s="651"/>
      <c r="K67" s="651"/>
      <c r="L67" s="651"/>
      <c r="M67" s="651"/>
      <c r="N67" s="651"/>
      <c r="O67" s="651"/>
      <c r="P67" s="651"/>
      <c r="Q67" s="651"/>
      <c r="R67" s="656"/>
      <c r="S67" s="656"/>
      <c r="T67" s="656"/>
      <c r="U67" s="656"/>
      <c r="V67" s="656"/>
      <c r="W67" s="656"/>
      <c r="X67" s="656"/>
      <c r="Y67" s="656"/>
    </row>
    <row r="68" spans="1:25">
      <c r="A68" s="651" t="s">
        <v>503</v>
      </c>
      <c r="B68" s="655">
        <f>('energieprijs en discontovoet'!B14*'MTRG TERTIAIR'!D121+'MTRG TERTIAIR'!F121*'energieprijs en discontovoet'!B15)/SUM('MTRG TERTIAIR'!D121,'MTRG TERTIAIR'!F121)</f>
        <v>5.2410454219643486E-2</v>
      </c>
      <c r="C68" s="651" t="s">
        <v>404</v>
      </c>
      <c r="D68" s="651" t="s">
        <v>335</v>
      </c>
      <c r="E68" s="651"/>
      <c r="F68" s="651"/>
      <c r="G68" s="651"/>
      <c r="H68" s="651"/>
      <c r="I68" s="651"/>
      <c r="J68" s="651"/>
      <c r="K68" s="651"/>
      <c r="L68" s="651"/>
      <c r="M68" s="651"/>
      <c r="N68" s="651"/>
      <c r="O68" s="651"/>
      <c r="P68" s="651"/>
      <c r="Q68" s="651"/>
      <c r="R68" s="656"/>
      <c r="S68" s="656"/>
      <c r="T68" s="656"/>
      <c r="U68" s="656"/>
      <c r="V68" s="656"/>
      <c r="W68" s="656"/>
      <c r="X68" s="656"/>
      <c r="Y68" s="656"/>
    </row>
    <row r="69" spans="1:25">
      <c r="A69" s="651" t="s">
        <v>2</v>
      </c>
      <c r="B69" s="655">
        <f>'energieprijs en discontovoet'!B13</f>
        <v>0.18</v>
      </c>
      <c r="C69" s="651" t="s">
        <v>404</v>
      </c>
      <c r="D69" s="651" t="s">
        <v>335</v>
      </c>
      <c r="E69" s="651"/>
      <c r="F69" s="651"/>
      <c r="G69" s="651"/>
      <c r="H69" s="651"/>
      <c r="I69" s="651"/>
      <c r="J69" s="651"/>
      <c r="K69" s="651"/>
      <c r="L69" s="651"/>
      <c r="M69" s="651"/>
      <c r="N69" s="651"/>
      <c r="O69" s="651"/>
      <c r="P69" s="651"/>
      <c r="Q69" s="651"/>
      <c r="R69" s="656"/>
      <c r="S69" s="656"/>
      <c r="T69" s="656"/>
      <c r="U69" s="656"/>
      <c r="V69" s="656"/>
      <c r="W69" s="656"/>
      <c r="X69" s="656"/>
      <c r="Y69" s="656"/>
    </row>
    <row r="72" spans="1:25" s="585" customFormat="1" ht="18.75">
      <c r="A72" s="584" t="s">
        <v>187</v>
      </c>
    </row>
    <row r="73" spans="1:25" s="585" customFormat="1" ht="18.75">
      <c r="A73" s="584"/>
    </row>
    <row r="74" spans="1:25" s="649" customFormat="1">
      <c r="A74" s="648" t="s">
        <v>710</v>
      </c>
      <c r="B74" s="648"/>
      <c r="C74" s="648"/>
      <c r="D74" s="648"/>
      <c r="E74" s="648"/>
      <c r="F74" s="648"/>
      <c r="G74" s="648"/>
      <c r="H74" s="648"/>
      <c r="I74" s="648"/>
      <c r="J74" s="648"/>
      <c r="K74" s="648"/>
      <c r="L74" s="648"/>
      <c r="M74" s="648"/>
      <c r="N74" s="648"/>
      <c r="O74" s="648"/>
      <c r="P74" s="648"/>
      <c r="Q74" s="648"/>
    </row>
    <row r="76" spans="1:25">
      <c r="A76" s="774" t="s">
        <v>48</v>
      </c>
      <c r="B76" s="775" t="s">
        <v>73</v>
      </c>
      <c r="C76" s="775"/>
      <c r="D76" s="775"/>
      <c r="E76" s="775"/>
      <c r="F76" s="775"/>
      <c r="G76" s="775"/>
      <c r="H76" s="775"/>
      <c r="I76" s="775"/>
      <c r="J76" s="775"/>
      <c r="K76" s="775"/>
      <c r="L76" s="775"/>
      <c r="M76" s="775"/>
      <c r="N76" s="775"/>
      <c r="O76" s="775"/>
      <c r="P76" s="775"/>
      <c r="Q76" s="775"/>
    </row>
    <row r="77" spans="1:25" ht="16.5" customHeight="1">
      <c r="A77" s="774"/>
      <c r="B77" s="776" t="s">
        <v>2</v>
      </c>
      <c r="C77" s="776" t="s">
        <v>31</v>
      </c>
      <c r="D77" s="776" t="s">
        <v>32</v>
      </c>
      <c r="E77" s="776"/>
      <c r="F77" s="776"/>
      <c r="G77" s="776"/>
      <c r="H77" s="776"/>
      <c r="I77" s="776"/>
      <c r="J77" s="776"/>
      <c r="K77" s="776"/>
      <c r="L77" s="776" t="s">
        <v>33</v>
      </c>
      <c r="M77" s="776"/>
      <c r="N77" s="776"/>
      <c r="O77" s="776"/>
      <c r="P77" s="776"/>
      <c r="Q77" s="776" t="s">
        <v>27</v>
      </c>
    </row>
    <row r="78" spans="1:25" ht="45">
      <c r="A78" s="774"/>
      <c r="B78" s="776"/>
      <c r="C78" s="776"/>
      <c r="D78" s="662" t="s">
        <v>34</v>
      </c>
      <c r="E78" s="662" t="s">
        <v>35</v>
      </c>
      <c r="F78" s="662" t="s">
        <v>36</v>
      </c>
      <c r="G78" s="662" t="s">
        <v>37</v>
      </c>
      <c r="H78" s="662" t="s">
        <v>29</v>
      </c>
      <c r="I78" s="662" t="s">
        <v>38</v>
      </c>
      <c r="J78" s="662" t="s">
        <v>39</v>
      </c>
      <c r="K78" s="662" t="s">
        <v>40</v>
      </c>
      <c r="L78" s="662" t="s">
        <v>41</v>
      </c>
      <c r="M78" s="662" t="s">
        <v>42</v>
      </c>
      <c r="N78" s="662" t="s">
        <v>43</v>
      </c>
      <c r="O78" s="662" t="s">
        <v>44</v>
      </c>
      <c r="P78" s="662" t="s">
        <v>45</v>
      </c>
      <c r="Q78" s="776"/>
    </row>
    <row r="79" spans="1:25">
      <c r="A79" s="663" t="s">
        <v>371</v>
      </c>
      <c r="B79" s="664">
        <f>'Nulmeting 2011'!B5</f>
        <v>27824.135442457016</v>
      </c>
      <c r="C79" s="664">
        <f>'Nulmeting 2011'!C5</f>
        <v>0</v>
      </c>
      <c r="D79" s="664">
        <f>'Nulmeting 2011'!D5</f>
        <v>36858.708666211503</v>
      </c>
      <c r="E79" s="664">
        <f>'Nulmeting 2011'!E5</f>
        <v>541.09072511852162</v>
      </c>
      <c r="F79" s="664">
        <f>'Nulmeting 2011'!F5</f>
        <v>5515.0611170163829</v>
      </c>
      <c r="G79" s="664">
        <f>'Nulmeting 2011'!G5</f>
        <v>0</v>
      </c>
      <c r="H79" s="664">
        <f>'Nulmeting 2011'!H5</f>
        <v>0</v>
      </c>
      <c r="I79" s="664">
        <f>'Nulmeting 2011'!I5</f>
        <v>0</v>
      </c>
      <c r="J79" s="664">
        <f>'Nulmeting 2011'!J5</f>
        <v>0</v>
      </c>
      <c r="K79" s="664">
        <f>'Nulmeting 2011'!K5</f>
        <v>0</v>
      </c>
      <c r="L79" s="664">
        <f>'Nulmeting 2011'!L5</f>
        <v>0</v>
      </c>
      <c r="M79" s="664">
        <f>'Nulmeting 2011'!M5</f>
        <v>0</v>
      </c>
      <c r="N79" s="664">
        <f>'Nulmeting 2011'!N5</f>
        <v>515.58947484055921</v>
      </c>
      <c r="O79" s="664">
        <f>'Nulmeting 2011'!O5</f>
        <v>1.5633333333333335</v>
      </c>
      <c r="P79" s="664">
        <f>'Nulmeting 2011'!P5</f>
        <v>0</v>
      </c>
      <c r="Q79" s="664">
        <f>SUM(B79:P79)</f>
        <v>71256.148758977317</v>
      </c>
    </row>
    <row r="80" spans="1:25">
      <c r="A80" s="669"/>
      <c r="B80" s="713"/>
      <c r="C80" s="669"/>
      <c r="D80" s="669"/>
      <c r="E80" s="669"/>
      <c r="F80" s="669"/>
      <c r="G80" s="669"/>
      <c r="H80" s="669"/>
      <c r="I80" s="669"/>
      <c r="J80" s="669"/>
      <c r="K80" s="669"/>
      <c r="L80" s="669"/>
      <c r="M80" s="669"/>
      <c r="N80" s="669"/>
      <c r="O80" s="669"/>
      <c r="P80" s="669"/>
      <c r="Q80" s="669"/>
    </row>
    <row r="82" spans="1:25" s="649" customFormat="1">
      <c r="A82" s="648" t="s">
        <v>711</v>
      </c>
      <c r="B82" s="648"/>
      <c r="C82" s="648"/>
      <c r="D82" s="648"/>
      <c r="E82" s="648"/>
      <c r="F82" s="648"/>
      <c r="G82" s="648"/>
      <c r="H82" s="648"/>
      <c r="I82" s="648"/>
      <c r="J82" s="648"/>
      <c r="K82" s="648"/>
      <c r="L82" s="648"/>
      <c r="M82" s="648"/>
      <c r="N82" s="648"/>
      <c r="O82" s="648"/>
      <c r="P82" s="648"/>
      <c r="Q82" s="648"/>
    </row>
    <row r="83" spans="1:25">
      <c r="A83" s="651" t="s">
        <v>95</v>
      </c>
      <c r="B83" s="651"/>
      <c r="C83" s="651"/>
      <c r="D83" s="651" t="s">
        <v>102</v>
      </c>
      <c r="E83" s="651"/>
      <c r="F83" s="651"/>
      <c r="G83" s="651"/>
      <c r="H83" s="651"/>
      <c r="I83" s="651"/>
      <c r="J83" s="651"/>
      <c r="K83" s="651"/>
      <c r="L83" s="651"/>
      <c r="M83" s="651"/>
      <c r="N83" s="651"/>
      <c r="O83" s="651"/>
      <c r="P83" s="651"/>
      <c r="Q83" s="651"/>
      <c r="R83" s="656"/>
      <c r="S83" s="656"/>
      <c r="T83" s="656"/>
      <c r="U83" s="656"/>
      <c r="V83" s="656"/>
      <c r="W83" s="656"/>
      <c r="X83" s="656"/>
      <c r="Y83" s="656"/>
    </row>
    <row r="84" spans="1:25">
      <c r="A84" s="651" t="s">
        <v>451</v>
      </c>
      <c r="B84" s="651">
        <v>0.14000000000000001</v>
      </c>
      <c r="C84" s="651"/>
      <c r="D84" s="660" t="s">
        <v>452</v>
      </c>
      <c r="E84" s="651"/>
      <c r="F84" s="651"/>
      <c r="G84" s="651"/>
      <c r="H84" s="651"/>
      <c r="I84" s="651"/>
      <c r="J84" s="651"/>
      <c r="K84" s="651"/>
      <c r="L84" s="651"/>
      <c r="M84" s="651"/>
      <c r="N84" s="651"/>
      <c r="O84" s="651"/>
      <c r="P84" s="651"/>
      <c r="Q84" s="651"/>
      <c r="R84" s="656"/>
      <c r="S84" s="656"/>
      <c r="T84" s="656"/>
      <c r="U84" s="656"/>
      <c r="V84" s="656"/>
      <c r="W84" s="656"/>
      <c r="X84" s="656"/>
      <c r="Y84" s="656"/>
    </row>
    <row r="85" spans="1:25">
      <c r="A85" s="651" t="s">
        <v>99</v>
      </c>
      <c r="B85" s="583">
        <v>1799</v>
      </c>
      <c r="C85" s="651"/>
      <c r="D85" s="660" t="s">
        <v>421</v>
      </c>
      <c r="E85" s="651"/>
      <c r="F85" s="651"/>
      <c r="G85" s="651"/>
      <c r="H85" s="651"/>
      <c r="I85" s="651"/>
      <c r="J85" s="651"/>
      <c r="K85" s="651"/>
      <c r="L85" s="651"/>
      <c r="M85" s="651"/>
      <c r="N85" s="651"/>
      <c r="O85" s="651"/>
      <c r="P85" s="651"/>
      <c r="Q85" s="651"/>
      <c r="R85" s="656"/>
      <c r="S85" s="656"/>
      <c r="T85" s="656"/>
      <c r="U85" s="656"/>
      <c r="V85" s="656"/>
      <c r="W85" s="656"/>
      <c r="X85" s="656"/>
      <c r="Y85" s="656"/>
    </row>
    <row r="86" spans="1:25">
      <c r="A86" s="651" t="s">
        <v>101</v>
      </c>
      <c r="B86" s="583">
        <v>1538</v>
      </c>
      <c r="C86" s="651"/>
      <c r="D86" s="660" t="s">
        <v>394</v>
      </c>
      <c r="E86" s="651"/>
      <c r="F86" s="651"/>
      <c r="G86" s="651"/>
      <c r="H86" s="651"/>
      <c r="I86" s="651"/>
      <c r="J86" s="651"/>
      <c r="K86" s="651"/>
      <c r="L86" s="651"/>
      <c r="M86" s="651"/>
      <c r="N86" s="651"/>
      <c r="O86" s="651"/>
      <c r="P86" s="651"/>
      <c r="Q86" s="651"/>
      <c r="R86" s="656"/>
      <c r="S86" s="656"/>
      <c r="T86" s="656"/>
      <c r="U86" s="656"/>
      <c r="V86" s="656"/>
      <c r="W86" s="656"/>
      <c r="X86" s="656"/>
      <c r="Y86" s="656"/>
    </row>
    <row r="88" spans="1:25">
      <c r="A88" s="774" t="s">
        <v>48</v>
      </c>
      <c r="B88" s="775" t="s">
        <v>716</v>
      </c>
      <c r="C88" s="775"/>
      <c r="D88" s="775"/>
      <c r="E88" s="775"/>
      <c r="F88" s="775"/>
      <c r="G88" s="775"/>
      <c r="H88" s="775"/>
      <c r="I88" s="775"/>
      <c r="J88" s="775"/>
      <c r="K88" s="775"/>
      <c r="L88" s="775"/>
      <c r="M88" s="775"/>
      <c r="N88" s="775"/>
      <c r="O88" s="775"/>
      <c r="P88" s="775"/>
      <c r="Q88" s="775"/>
    </row>
    <row r="89" spans="1:25" ht="16.5" customHeight="1">
      <c r="A89" s="774"/>
      <c r="B89" s="776" t="s">
        <v>2</v>
      </c>
      <c r="C89" s="776" t="s">
        <v>31</v>
      </c>
      <c r="D89" s="776" t="s">
        <v>32</v>
      </c>
      <c r="E89" s="776"/>
      <c r="F89" s="776"/>
      <c r="G89" s="776"/>
      <c r="H89" s="776"/>
      <c r="I89" s="776"/>
      <c r="J89" s="776"/>
      <c r="K89" s="776"/>
      <c r="L89" s="776" t="s">
        <v>33</v>
      </c>
      <c r="M89" s="776"/>
      <c r="N89" s="776"/>
      <c r="O89" s="776"/>
      <c r="P89" s="776"/>
      <c r="Q89" s="776" t="s">
        <v>27</v>
      </c>
    </row>
    <row r="90" spans="1:25" ht="45">
      <c r="A90" s="774"/>
      <c r="B90" s="776"/>
      <c r="C90" s="776"/>
      <c r="D90" s="662" t="s">
        <v>34</v>
      </c>
      <c r="E90" s="662" t="s">
        <v>35</v>
      </c>
      <c r="F90" s="662" t="s">
        <v>36</v>
      </c>
      <c r="G90" s="662" t="s">
        <v>37</v>
      </c>
      <c r="H90" s="662" t="s">
        <v>29</v>
      </c>
      <c r="I90" s="662" t="s">
        <v>38</v>
      </c>
      <c r="J90" s="662" t="s">
        <v>39</v>
      </c>
      <c r="K90" s="662" t="s">
        <v>40</v>
      </c>
      <c r="L90" s="662" t="s">
        <v>41</v>
      </c>
      <c r="M90" s="662" t="s">
        <v>42</v>
      </c>
      <c r="N90" s="662" t="s">
        <v>43</v>
      </c>
      <c r="O90" s="662" t="s">
        <v>44</v>
      </c>
      <c r="P90" s="662" t="s">
        <v>45</v>
      </c>
      <c r="Q90" s="776"/>
    </row>
    <row r="91" spans="1:25">
      <c r="A91" s="663" t="s">
        <v>371</v>
      </c>
      <c r="B91" s="663">
        <f>B79</f>
        <v>27824.135442457016</v>
      </c>
      <c r="C91" s="663">
        <f>C79*($B$85/$B$86)^($B$84)</f>
        <v>0</v>
      </c>
      <c r="D91" s="663">
        <f t="shared" ref="D91:P91" si="0">D79*($B$85/$B$86)^($B$84)</f>
        <v>37676.503465454603</v>
      </c>
      <c r="E91" s="663">
        <f t="shared" si="0"/>
        <v>553.09606108750108</v>
      </c>
      <c r="F91" s="663">
        <f t="shared" si="0"/>
        <v>5637.4253685653885</v>
      </c>
      <c r="G91" s="663">
        <f t="shared" si="0"/>
        <v>0</v>
      </c>
      <c r="H91" s="663">
        <f t="shared" si="0"/>
        <v>0</v>
      </c>
      <c r="I91" s="663">
        <f t="shared" si="0"/>
        <v>0</v>
      </c>
      <c r="J91" s="663">
        <f t="shared" si="0"/>
        <v>0</v>
      </c>
      <c r="K91" s="663">
        <f t="shared" si="0"/>
        <v>0</v>
      </c>
      <c r="L91" s="663">
        <f t="shared" si="0"/>
        <v>0</v>
      </c>
      <c r="M91" s="663">
        <f t="shared" si="0"/>
        <v>0</v>
      </c>
      <c r="N91" s="663">
        <f t="shared" si="0"/>
        <v>527.02900721505102</v>
      </c>
      <c r="O91" s="663">
        <f t="shared" si="0"/>
        <v>1.5980194608659393</v>
      </c>
      <c r="P91" s="663">
        <f t="shared" si="0"/>
        <v>0</v>
      </c>
      <c r="Q91" s="663">
        <f>SUM(B91:P91)</f>
        <v>72219.78736424043</v>
      </c>
      <c r="S91" s="714"/>
    </row>
    <row r="92" spans="1:25">
      <c r="A92" s="669"/>
      <c r="B92" s="669"/>
      <c r="C92" s="669"/>
      <c r="D92" s="669"/>
      <c r="E92" s="669"/>
      <c r="F92" s="669"/>
      <c r="G92" s="669"/>
      <c r="H92" s="669"/>
      <c r="I92" s="669"/>
      <c r="J92" s="669"/>
      <c r="K92" s="669"/>
      <c r="L92" s="669"/>
      <c r="M92" s="669"/>
      <c r="N92" s="669"/>
      <c r="O92" s="669"/>
      <c r="P92" s="669"/>
      <c r="Q92" s="669"/>
      <c r="S92" s="666"/>
    </row>
    <row r="93" spans="1:25">
      <c r="B93" s="669"/>
    </row>
    <row r="94" spans="1:25" s="585" customFormat="1" ht="18.75">
      <c r="A94" s="584" t="s">
        <v>184</v>
      </c>
      <c r="C94" s="715"/>
    </row>
    <row r="95" spans="1:25" s="585" customFormat="1" ht="18.75">
      <c r="A95" s="584"/>
      <c r="D95" s="715"/>
    </row>
    <row r="96" spans="1:25" s="585" customFormat="1">
      <c r="A96" s="648" t="s">
        <v>687</v>
      </c>
      <c r="B96" s="670"/>
      <c r="C96" s="670"/>
      <c r="D96" s="670"/>
      <c r="E96" s="670"/>
      <c r="F96" s="670"/>
      <c r="G96" s="670"/>
      <c r="H96" s="670"/>
      <c r="I96" s="670"/>
      <c r="J96" s="670"/>
      <c r="K96" s="670"/>
      <c r="L96" s="670"/>
      <c r="M96" s="670"/>
      <c r="N96" s="670"/>
      <c r="O96" s="670"/>
      <c r="P96" s="670"/>
      <c r="Q96" s="670"/>
    </row>
    <row r="97" spans="1:25">
      <c r="A97" s="651" t="s">
        <v>95</v>
      </c>
      <c r="B97" s="651"/>
      <c r="C97" s="651"/>
      <c r="D97" s="651"/>
      <c r="E97" s="651"/>
      <c r="F97" s="651" t="s">
        <v>103</v>
      </c>
      <c r="G97" s="651"/>
      <c r="H97" s="651" t="s">
        <v>91</v>
      </c>
      <c r="I97" s="651"/>
      <c r="J97" s="651"/>
      <c r="K97" s="651"/>
      <c r="L97" s="651"/>
      <c r="M97" s="651"/>
      <c r="N97" s="651"/>
      <c r="O97" s="651"/>
      <c r="P97" s="651"/>
      <c r="Q97" s="651"/>
      <c r="R97" s="656"/>
      <c r="S97" s="656"/>
      <c r="T97" s="656"/>
      <c r="U97" s="656"/>
      <c r="V97" s="656"/>
      <c r="W97" s="656"/>
      <c r="X97" s="656"/>
      <c r="Y97" s="656"/>
    </row>
    <row r="98" spans="1:25">
      <c r="A98" s="651"/>
      <c r="B98" s="651"/>
      <c r="C98" s="671">
        <v>2011</v>
      </c>
      <c r="D98" s="672">
        <v>2020</v>
      </c>
      <c r="E98" s="651"/>
      <c r="F98" s="651"/>
      <c r="G98" s="651"/>
      <c r="H98" s="651"/>
      <c r="I98" s="651"/>
      <c r="J98" s="651"/>
      <c r="K98" s="651"/>
      <c r="L98" s="651"/>
      <c r="M98" s="651"/>
      <c r="N98" s="651"/>
      <c r="O98" s="651"/>
      <c r="P98" s="651"/>
      <c r="Q98" s="651"/>
      <c r="R98" s="656"/>
      <c r="S98" s="656"/>
      <c r="T98" s="656"/>
      <c r="U98" s="656"/>
      <c r="V98" s="656"/>
      <c r="W98" s="656"/>
      <c r="X98" s="656"/>
      <c r="Y98" s="656"/>
    </row>
    <row r="99" spans="1:25">
      <c r="A99" s="650" t="s">
        <v>453</v>
      </c>
      <c r="B99" s="651"/>
      <c r="C99" s="673"/>
      <c r="D99" s="674"/>
      <c r="E99" s="651"/>
      <c r="F99" s="651"/>
      <c r="G99" s="651"/>
      <c r="H99" s="651"/>
      <c r="I99" s="651"/>
      <c r="J99" s="651"/>
      <c r="K99" s="651"/>
      <c r="L99" s="651"/>
      <c r="M99" s="651"/>
      <c r="N99" s="651"/>
      <c r="O99" s="651"/>
      <c r="P99" s="651"/>
      <c r="Q99" s="651"/>
      <c r="R99" s="656"/>
      <c r="S99" s="656"/>
      <c r="T99" s="656"/>
      <c r="U99" s="656"/>
      <c r="V99" s="656"/>
      <c r="W99" s="656"/>
      <c r="X99" s="656"/>
      <c r="Y99" s="656"/>
    </row>
    <row r="100" spans="1:25">
      <c r="A100" s="651" t="s">
        <v>461</v>
      </c>
      <c r="B100" s="659"/>
      <c r="C100" s="673"/>
      <c r="D100" s="716">
        <f>AVERAGE('groei toegevoegde waarde'!L18:L24)</f>
        <v>2.6388110888295131E-2</v>
      </c>
      <c r="E100" s="651"/>
      <c r="F100" s="651" t="s">
        <v>495</v>
      </c>
      <c r="G100" s="651"/>
      <c r="H100" s="651" t="s">
        <v>460</v>
      </c>
      <c r="I100" s="651"/>
      <c r="J100" s="651"/>
      <c r="K100" s="651"/>
      <c r="L100" s="651"/>
      <c r="M100" s="651"/>
      <c r="N100" s="651"/>
      <c r="O100" s="651"/>
      <c r="P100" s="651"/>
      <c r="Q100" s="651"/>
      <c r="R100" s="656"/>
      <c r="S100" s="656"/>
      <c r="T100" s="656"/>
      <c r="U100" s="656"/>
      <c r="V100" s="656"/>
      <c r="W100" s="656"/>
      <c r="X100" s="656"/>
      <c r="Y100" s="656"/>
    </row>
    <row r="101" spans="1:25">
      <c r="A101" s="650" t="s">
        <v>454</v>
      </c>
      <c r="B101" s="651"/>
      <c r="C101" s="673"/>
      <c r="D101" s="674"/>
      <c r="E101" s="651"/>
      <c r="F101" s="650"/>
      <c r="G101" s="651"/>
      <c r="H101" s="651"/>
      <c r="I101" s="651"/>
      <c r="J101" s="651"/>
      <c r="K101" s="651"/>
      <c r="L101" s="651"/>
      <c r="M101" s="651"/>
      <c r="N101" s="651"/>
      <c r="O101" s="651"/>
      <c r="P101" s="651"/>
      <c r="Q101" s="651"/>
      <c r="R101" s="656"/>
      <c r="S101" s="656"/>
      <c r="T101" s="656"/>
      <c r="U101" s="656"/>
      <c r="V101" s="656"/>
      <c r="W101" s="656"/>
      <c r="X101" s="656"/>
      <c r="Y101" s="656"/>
    </row>
    <row r="102" spans="1:25">
      <c r="A102" s="651" t="s">
        <v>89</v>
      </c>
      <c r="B102" s="659" t="s">
        <v>116</v>
      </c>
      <c r="C102" s="677">
        <v>0.71975189008997675</v>
      </c>
      <c r="D102" s="678">
        <v>0.7757153149499626</v>
      </c>
      <c r="E102" s="651"/>
      <c r="F102" s="651" t="s">
        <v>455</v>
      </c>
      <c r="G102" s="651"/>
      <c r="H102" s="651" t="s">
        <v>341</v>
      </c>
      <c r="I102" s="651"/>
      <c r="J102" s="651"/>
      <c r="K102" s="651"/>
      <c r="L102" s="651"/>
      <c r="M102" s="651"/>
      <c r="N102" s="651"/>
      <c r="O102" s="651"/>
      <c r="P102" s="651"/>
      <c r="Q102" s="651"/>
      <c r="R102" s="656"/>
      <c r="S102" s="656"/>
      <c r="T102" s="656"/>
      <c r="U102" s="656"/>
      <c r="V102" s="656"/>
      <c r="W102" s="656"/>
      <c r="X102" s="656"/>
      <c r="Y102" s="656"/>
    </row>
    <row r="103" spans="1:25">
      <c r="A103" s="650" t="s">
        <v>118</v>
      </c>
      <c r="B103" s="651"/>
      <c r="C103" s="673"/>
      <c r="D103" s="674"/>
      <c r="E103" s="651"/>
      <c r="F103" s="650"/>
      <c r="G103" s="651"/>
      <c r="H103" s="651"/>
      <c r="I103" s="651"/>
      <c r="J103" s="651"/>
      <c r="K103" s="651"/>
      <c r="L103" s="651"/>
      <c r="M103" s="651"/>
      <c r="N103" s="651"/>
      <c r="O103" s="651"/>
      <c r="P103" s="651"/>
      <c r="Q103" s="651"/>
      <c r="R103" s="656"/>
      <c r="S103" s="656"/>
      <c r="T103" s="656"/>
      <c r="U103" s="656"/>
      <c r="V103" s="656"/>
      <c r="W103" s="656"/>
      <c r="X103" s="656"/>
      <c r="Y103" s="656"/>
    </row>
    <row r="104" spans="1:25">
      <c r="A104" s="651" t="s">
        <v>459</v>
      </c>
      <c r="B104" s="659"/>
      <c r="C104" s="673"/>
      <c r="D104" s="674"/>
      <c r="E104" s="651"/>
      <c r="F104" s="651"/>
      <c r="G104" s="651"/>
      <c r="H104" s="651"/>
      <c r="I104" s="651"/>
      <c r="J104" s="651"/>
      <c r="K104" s="651"/>
      <c r="L104" s="651"/>
      <c r="M104" s="651"/>
      <c r="N104" s="651"/>
      <c r="O104" s="651"/>
      <c r="P104" s="651"/>
      <c r="Q104" s="651"/>
      <c r="R104" s="656"/>
      <c r="S104" s="656"/>
      <c r="T104" s="656"/>
      <c r="U104" s="656"/>
      <c r="V104" s="656"/>
      <c r="W104" s="656"/>
      <c r="X104" s="656"/>
      <c r="Y104" s="656"/>
    </row>
    <row r="105" spans="1:25">
      <c r="A105" s="651" t="s">
        <v>457</v>
      </c>
      <c r="B105" s="659" t="s">
        <v>456</v>
      </c>
      <c r="C105" s="717">
        <v>0.4</v>
      </c>
      <c r="D105" s="718">
        <v>0.75</v>
      </c>
      <c r="E105" s="651"/>
      <c r="F105" s="651" t="s">
        <v>463</v>
      </c>
      <c r="G105" s="651"/>
      <c r="H105" s="651" t="s">
        <v>633</v>
      </c>
      <c r="I105" s="651"/>
      <c r="J105" s="651"/>
      <c r="K105" s="651"/>
      <c r="L105" s="651"/>
      <c r="M105" s="651"/>
      <c r="N105" s="651"/>
      <c r="O105" s="651"/>
      <c r="P105" s="651"/>
      <c r="Q105" s="651"/>
      <c r="R105" s="656"/>
      <c r="S105" s="656"/>
      <c r="T105" s="656"/>
      <c r="U105" s="656"/>
      <c r="V105" s="656"/>
      <c r="W105" s="656"/>
      <c r="X105" s="656"/>
      <c r="Y105" s="656"/>
    </row>
    <row r="106" spans="1:25">
      <c r="A106" s="651" t="s">
        <v>458</v>
      </c>
      <c r="B106" s="659" t="s">
        <v>456</v>
      </c>
      <c r="C106" s="717">
        <v>0.3</v>
      </c>
      <c r="D106" s="718">
        <v>0.7</v>
      </c>
      <c r="E106" s="651"/>
      <c r="F106" s="651" t="s">
        <v>462</v>
      </c>
      <c r="G106" s="651"/>
      <c r="H106" s="651" t="s">
        <v>634</v>
      </c>
      <c r="I106" s="651"/>
      <c r="J106" s="651"/>
      <c r="K106" s="651"/>
      <c r="L106" s="651"/>
      <c r="M106" s="651"/>
      <c r="N106" s="651"/>
      <c r="O106" s="651"/>
      <c r="P106" s="651"/>
      <c r="Q106" s="651"/>
      <c r="R106" s="656"/>
      <c r="S106" s="656"/>
      <c r="T106" s="656"/>
      <c r="U106" s="656"/>
      <c r="V106" s="656"/>
      <c r="W106" s="656"/>
      <c r="X106" s="656"/>
      <c r="Y106" s="656"/>
    </row>
    <row r="107" spans="1:25">
      <c r="A107" s="651" t="s">
        <v>469</v>
      </c>
      <c r="B107" s="651" t="s">
        <v>468</v>
      </c>
      <c r="C107" s="673"/>
      <c r="D107" s="674"/>
      <c r="E107" s="651"/>
      <c r="F107" s="651"/>
      <c r="G107" s="651"/>
      <c r="H107" s="651"/>
      <c r="I107" s="651"/>
      <c r="J107" s="651"/>
      <c r="K107" s="651"/>
      <c r="L107" s="651"/>
      <c r="M107" s="651"/>
      <c r="N107" s="651"/>
      <c r="O107" s="651"/>
      <c r="P107" s="651"/>
      <c r="Q107" s="651"/>
      <c r="R107" s="656"/>
      <c r="S107" s="656"/>
      <c r="T107" s="656"/>
      <c r="U107" s="656"/>
      <c r="V107" s="656"/>
      <c r="W107" s="656"/>
      <c r="X107" s="656"/>
      <c r="Y107" s="656"/>
    </row>
    <row r="108" spans="1:25">
      <c r="A108" s="651"/>
      <c r="B108" s="659" t="s">
        <v>34</v>
      </c>
      <c r="C108" s="677"/>
      <c r="D108" s="716">
        <f>'MTRG HUISHOUDENS'!D181/'MTRG HUISHOUDENS'!Q181</f>
        <v>0.52945861918062331</v>
      </c>
      <c r="E108" s="651"/>
      <c r="F108" s="651" t="s">
        <v>464</v>
      </c>
      <c r="G108" s="651"/>
      <c r="H108" s="651"/>
      <c r="I108" s="651"/>
      <c r="J108" s="651"/>
      <c r="K108" s="651"/>
      <c r="L108" s="651"/>
      <c r="M108" s="651"/>
      <c r="N108" s="651"/>
      <c r="O108" s="651"/>
      <c r="P108" s="651"/>
      <c r="Q108" s="651"/>
      <c r="R108" s="656"/>
      <c r="S108" s="656"/>
      <c r="T108" s="656"/>
      <c r="U108" s="656"/>
      <c r="V108" s="656"/>
      <c r="W108" s="656"/>
      <c r="X108" s="656"/>
      <c r="Y108" s="656"/>
    </row>
    <row r="109" spans="1:25">
      <c r="A109" s="651"/>
      <c r="B109" s="659" t="s">
        <v>465</v>
      </c>
      <c r="C109" s="677"/>
      <c r="D109" s="716">
        <f>'MTRG HUISHOUDENS'!B181/'MTRG HUISHOUDENS'!Q181</f>
        <v>0.14560112027467137</v>
      </c>
      <c r="E109" s="651"/>
      <c r="F109" s="651"/>
      <c r="G109" s="651"/>
      <c r="H109" s="651"/>
      <c r="I109" s="651"/>
      <c r="J109" s="651"/>
      <c r="K109" s="651"/>
      <c r="L109" s="651"/>
      <c r="M109" s="651"/>
      <c r="N109" s="651"/>
      <c r="O109" s="651"/>
      <c r="P109" s="651"/>
      <c r="Q109" s="651"/>
      <c r="R109" s="656"/>
      <c r="S109" s="656"/>
      <c r="T109" s="656"/>
      <c r="U109" s="656"/>
      <c r="V109" s="656"/>
      <c r="W109" s="656"/>
      <c r="X109" s="656"/>
      <c r="Y109" s="656"/>
    </row>
    <row r="110" spans="1:25">
      <c r="A110" s="651"/>
      <c r="B110" s="659" t="s">
        <v>467</v>
      </c>
      <c r="C110" s="677"/>
      <c r="D110" s="716">
        <f>'MTRG HUISHOUDENS'!P181/'MTRG HUISHOUDENS'!Q181</f>
        <v>0.32032246460427705</v>
      </c>
      <c r="E110" s="651"/>
      <c r="F110" s="651"/>
      <c r="G110" s="651"/>
      <c r="H110" s="651"/>
      <c r="I110" s="651"/>
      <c r="J110" s="651"/>
      <c r="K110" s="651"/>
      <c r="L110" s="651"/>
      <c r="M110" s="651"/>
      <c r="N110" s="651"/>
      <c r="O110" s="651"/>
      <c r="P110" s="651"/>
      <c r="Q110" s="651"/>
      <c r="R110" s="656"/>
      <c r="S110" s="656"/>
      <c r="T110" s="656"/>
      <c r="U110" s="656"/>
      <c r="V110" s="656"/>
      <c r="W110" s="656"/>
      <c r="X110" s="656"/>
      <c r="Y110" s="656"/>
    </row>
    <row r="111" spans="1:25">
      <c r="A111" s="651"/>
      <c r="B111" s="651" t="s">
        <v>466</v>
      </c>
      <c r="C111" s="677"/>
      <c r="D111" s="716">
        <f>'MTRG HUISHOUDENS'!O181/'MTRG HUISHOUDENS'!Q181</f>
        <v>4.6177959404282449E-3</v>
      </c>
      <c r="E111" s="651"/>
      <c r="F111" s="651"/>
      <c r="G111" s="651"/>
      <c r="H111" s="651"/>
      <c r="I111" s="651"/>
      <c r="J111" s="651"/>
      <c r="K111" s="651"/>
      <c r="L111" s="651"/>
      <c r="M111" s="651"/>
      <c r="N111" s="651"/>
      <c r="O111" s="651"/>
      <c r="P111" s="651"/>
      <c r="Q111" s="651"/>
      <c r="R111" s="656"/>
      <c r="S111" s="656"/>
      <c r="T111" s="656"/>
      <c r="U111" s="656"/>
      <c r="V111" s="656"/>
      <c r="W111" s="656"/>
      <c r="X111" s="656"/>
      <c r="Y111" s="656"/>
    </row>
    <row r="112" spans="1:25">
      <c r="A112" s="650" t="s">
        <v>115</v>
      </c>
      <c r="B112" s="659"/>
      <c r="C112" s="673"/>
      <c r="D112" s="674"/>
      <c r="E112" s="651"/>
      <c r="F112" s="650"/>
      <c r="G112" s="651"/>
      <c r="H112" s="651"/>
      <c r="I112" s="651"/>
      <c r="J112" s="651"/>
      <c r="K112" s="651"/>
      <c r="L112" s="651"/>
      <c r="M112" s="651"/>
      <c r="N112" s="651"/>
      <c r="O112" s="651"/>
      <c r="P112" s="651"/>
      <c r="Q112" s="651"/>
      <c r="R112" s="656"/>
      <c r="S112" s="656"/>
      <c r="T112" s="656"/>
      <c r="U112" s="656"/>
      <c r="V112" s="656"/>
      <c r="W112" s="656"/>
      <c r="X112" s="656"/>
      <c r="Y112" s="656"/>
    </row>
    <row r="113" spans="1:25">
      <c r="A113" s="651" t="s">
        <v>471</v>
      </c>
      <c r="B113" s="659"/>
      <c r="C113" s="686">
        <v>0</v>
      </c>
      <c r="D113" s="687">
        <f>(D98-C98)*0.5%</f>
        <v>4.4999999999999998E-2</v>
      </c>
      <c r="E113" s="651"/>
      <c r="F113" s="651" t="s">
        <v>122</v>
      </c>
      <c r="G113" s="651"/>
      <c r="H113" s="651" t="s">
        <v>413</v>
      </c>
      <c r="I113" s="651"/>
      <c r="J113" s="651"/>
      <c r="K113" s="651"/>
      <c r="L113" s="651"/>
      <c r="M113" s="651"/>
      <c r="N113" s="651"/>
      <c r="O113" s="651"/>
      <c r="P113" s="651"/>
      <c r="Q113" s="651"/>
      <c r="R113" s="656"/>
      <c r="S113" s="656"/>
      <c r="T113" s="656"/>
      <c r="U113" s="656"/>
      <c r="V113" s="656"/>
      <c r="W113" s="656"/>
      <c r="X113" s="656"/>
      <c r="Y113" s="656"/>
    </row>
    <row r="114" spans="1:25">
      <c r="A114" s="650" t="s">
        <v>130</v>
      </c>
      <c r="B114" s="659"/>
      <c r="C114" s="659"/>
      <c r="D114" s="657"/>
      <c r="E114" s="651"/>
      <c r="F114" s="688"/>
      <c r="G114" s="651"/>
      <c r="H114" s="651"/>
      <c r="I114" s="651"/>
      <c r="J114" s="651"/>
      <c r="K114" s="651"/>
      <c r="L114" s="651"/>
      <c r="M114" s="651"/>
      <c r="N114" s="651"/>
      <c r="O114" s="651"/>
      <c r="P114" s="651"/>
      <c r="Q114" s="651"/>
      <c r="R114" s="656"/>
      <c r="S114" s="656"/>
      <c r="T114" s="656"/>
      <c r="U114" s="656"/>
      <c r="V114" s="656"/>
      <c r="W114" s="656"/>
      <c r="X114" s="656"/>
      <c r="Y114" s="656"/>
    </row>
    <row r="115" spans="1:25">
      <c r="A115" s="651" t="s">
        <v>496</v>
      </c>
      <c r="B115" s="659"/>
      <c r="C115" s="689"/>
      <c r="D115" s="689"/>
      <c r="E115" s="651"/>
      <c r="F115" s="651"/>
      <c r="G115" s="651"/>
      <c r="H115" s="651"/>
      <c r="I115" s="651"/>
      <c r="J115" s="651"/>
      <c r="K115" s="651"/>
      <c r="L115" s="651"/>
      <c r="M115" s="651"/>
      <c r="N115" s="651"/>
      <c r="O115" s="651"/>
      <c r="P115" s="651"/>
      <c r="Q115" s="651"/>
      <c r="R115" s="656"/>
      <c r="S115" s="656"/>
      <c r="T115" s="656"/>
      <c r="U115" s="656"/>
      <c r="V115" s="656"/>
      <c r="W115" s="656"/>
      <c r="X115" s="656"/>
      <c r="Y115" s="656"/>
    </row>
    <row r="116" spans="1:25">
      <c r="A116" s="651" t="s">
        <v>497</v>
      </c>
      <c r="B116" s="651"/>
      <c r="C116" s="651"/>
      <c r="D116" s="651"/>
      <c r="E116" s="651"/>
      <c r="F116" s="651"/>
      <c r="G116" s="651"/>
      <c r="H116" s="651"/>
      <c r="I116" s="651"/>
      <c r="J116" s="651"/>
      <c r="K116" s="651"/>
      <c r="L116" s="651"/>
      <c r="M116" s="651"/>
      <c r="N116" s="651"/>
      <c r="O116" s="651"/>
      <c r="P116" s="651"/>
      <c r="Q116" s="651"/>
      <c r="R116" s="656"/>
      <c r="S116" s="656"/>
      <c r="T116" s="656"/>
      <c r="U116" s="656"/>
      <c r="V116" s="656"/>
      <c r="W116" s="656"/>
      <c r="X116" s="656"/>
      <c r="Y116" s="656"/>
    </row>
    <row r="118" spans="1:25">
      <c r="A118" s="774" t="s">
        <v>48</v>
      </c>
      <c r="B118" s="775" t="s">
        <v>714</v>
      </c>
      <c r="C118" s="775"/>
      <c r="D118" s="775"/>
      <c r="E118" s="775"/>
      <c r="F118" s="775"/>
      <c r="G118" s="775"/>
      <c r="H118" s="775"/>
      <c r="I118" s="775"/>
      <c r="J118" s="775"/>
      <c r="K118" s="775"/>
      <c r="L118" s="775"/>
      <c r="M118" s="775"/>
      <c r="N118" s="775"/>
      <c r="O118" s="775"/>
      <c r="P118" s="775"/>
      <c r="Q118" s="775"/>
    </row>
    <row r="119" spans="1:25" ht="16.5" customHeight="1">
      <c r="A119" s="774"/>
      <c r="B119" s="776" t="s">
        <v>2</v>
      </c>
      <c r="C119" s="776" t="s">
        <v>31</v>
      </c>
      <c r="D119" s="776" t="s">
        <v>32</v>
      </c>
      <c r="E119" s="776"/>
      <c r="F119" s="776"/>
      <c r="G119" s="776"/>
      <c r="H119" s="776"/>
      <c r="I119" s="776"/>
      <c r="J119" s="776"/>
      <c r="K119" s="776"/>
      <c r="L119" s="776" t="s">
        <v>33</v>
      </c>
      <c r="M119" s="776"/>
      <c r="N119" s="776"/>
      <c r="O119" s="776"/>
      <c r="P119" s="776"/>
      <c r="Q119" s="776" t="s">
        <v>27</v>
      </c>
    </row>
    <row r="120" spans="1:25" ht="45">
      <c r="A120" s="774"/>
      <c r="B120" s="776"/>
      <c r="C120" s="776"/>
      <c r="D120" s="662" t="s">
        <v>34</v>
      </c>
      <c r="E120" s="662" t="s">
        <v>35</v>
      </c>
      <c r="F120" s="662" t="s">
        <v>36</v>
      </c>
      <c r="G120" s="662" t="s">
        <v>37</v>
      </c>
      <c r="H120" s="662" t="s">
        <v>29</v>
      </c>
      <c r="I120" s="662" t="s">
        <v>38</v>
      </c>
      <c r="J120" s="662" t="s">
        <v>39</v>
      </c>
      <c r="K120" s="662" t="s">
        <v>40</v>
      </c>
      <c r="L120" s="662" t="s">
        <v>41</v>
      </c>
      <c r="M120" s="662" t="s">
        <v>42</v>
      </c>
      <c r="N120" s="662" t="s">
        <v>43</v>
      </c>
      <c r="O120" s="662" t="s">
        <v>44</v>
      </c>
      <c r="P120" s="662" t="s">
        <v>45</v>
      </c>
      <c r="Q120" s="776"/>
    </row>
    <row r="121" spans="1:25">
      <c r="A121" s="663" t="s">
        <v>472</v>
      </c>
      <c r="B121" s="663"/>
      <c r="C121" s="665">
        <f>C91*$C$102/$D$102</f>
        <v>0</v>
      </c>
      <c r="D121" s="665">
        <f t="shared" ref="D121:N121" si="1">D91*$C$102/$D$102</f>
        <v>34958.359153952937</v>
      </c>
      <c r="E121" s="665">
        <f t="shared" si="1"/>
        <v>513.19334257920252</v>
      </c>
      <c r="F121" s="665">
        <f t="shared" si="1"/>
        <v>5230.7173599219886</v>
      </c>
      <c r="G121" s="665">
        <f t="shared" si="1"/>
        <v>0</v>
      </c>
      <c r="H121" s="665">
        <f t="shared" si="1"/>
        <v>0</v>
      </c>
      <c r="I121" s="665">
        <f t="shared" si="1"/>
        <v>0</v>
      </c>
      <c r="J121" s="665">
        <f t="shared" si="1"/>
        <v>0</v>
      </c>
      <c r="K121" s="665">
        <f t="shared" si="1"/>
        <v>0</v>
      </c>
      <c r="L121" s="665">
        <f t="shared" si="1"/>
        <v>0</v>
      </c>
      <c r="M121" s="665">
        <f t="shared" si="1"/>
        <v>0</v>
      </c>
      <c r="N121" s="665">
        <f t="shared" si="1"/>
        <v>489.00687760656831</v>
      </c>
      <c r="O121" s="663">
        <f>O91</f>
        <v>1.5980194608659393</v>
      </c>
      <c r="P121" s="665">
        <f>P91</f>
        <v>0</v>
      </c>
      <c r="Q121" s="663">
        <f>SUM(B121:P121)</f>
        <v>41192.874753521559</v>
      </c>
      <c r="R121" s="690"/>
      <c r="S121" s="690"/>
    </row>
    <row r="122" spans="1:25">
      <c r="A122" s="663" t="s">
        <v>132</v>
      </c>
      <c r="B122" s="663">
        <f>($Q$91-$B$91)*$D$100*D109*(1-AVERAGE($C$105:$D$105))</f>
        <v>72.494053616679494</v>
      </c>
      <c r="C122" s="663"/>
      <c r="D122" s="663">
        <f>($Q$91-$B$91)*$D$100*D108*(1-AVERAGE($C$105:$D$105))</f>
        <v>263.6147404242891</v>
      </c>
      <c r="E122" s="663"/>
      <c r="F122" s="663"/>
      <c r="G122" s="663"/>
      <c r="H122" s="663"/>
      <c r="I122" s="663"/>
      <c r="J122" s="663"/>
      <c r="K122" s="663"/>
      <c r="L122" s="663"/>
      <c r="M122" s="663"/>
      <c r="N122" s="663"/>
      <c r="O122" s="663">
        <f>($Q$91-$B$91)*$D$100*D111*(1-AVERAGE($C$105:$D$105))</f>
        <v>2.2991769971602687</v>
      </c>
      <c r="P122" s="663">
        <f>($Q$91-$B$91)*$D$100*D110*(1-AVERAGE($C$105:$D$105))</f>
        <v>159.4869179566949</v>
      </c>
      <c r="Q122" s="663">
        <f>SUM(B122:P122)</f>
        <v>497.89488899482376</v>
      </c>
    </row>
    <row r="123" spans="1:25">
      <c r="A123" s="663" t="s">
        <v>470</v>
      </c>
      <c r="B123" s="665">
        <f>B91-D113*B79+D100*B91*(1-AVERAGE(C106:D106))</f>
        <v>26939.1625332597</v>
      </c>
      <c r="C123" s="663"/>
      <c r="D123" s="663"/>
      <c r="E123" s="663"/>
      <c r="F123" s="663"/>
      <c r="G123" s="663"/>
      <c r="H123" s="663"/>
      <c r="I123" s="663"/>
      <c r="J123" s="663"/>
      <c r="K123" s="663"/>
      <c r="L123" s="663"/>
      <c r="M123" s="663"/>
      <c r="N123" s="663"/>
      <c r="O123" s="663"/>
      <c r="P123" s="663"/>
      <c r="Q123" s="663">
        <f>SUM(B123:P123)</f>
        <v>26939.1625332597</v>
      </c>
    </row>
    <row r="124" spans="1:25">
      <c r="A124" s="691" t="s">
        <v>712</v>
      </c>
      <c r="B124" s="692"/>
      <c r="C124" s="692"/>
      <c r="D124" s="692"/>
      <c r="E124" s="692"/>
      <c r="F124" s="692"/>
      <c r="G124" s="692"/>
      <c r="H124" s="692"/>
      <c r="I124" s="692"/>
      <c r="J124" s="692"/>
      <c r="K124" s="692"/>
      <c r="L124" s="692"/>
      <c r="M124" s="692"/>
      <c r="N124" s="692"/>
      <c r="O124" s="692"/>
      <c r="P124" s="693"/>
      <c r="Q124" s="663">
        <f>SUM(Q121:Q123)-Q91</f>
        <v>-3589.855188464353</v>
      </c>
    </row>
    <row r="125" spans="1:25">
      <c r="A125" s="669"/>
      <c r="B125" s="694"/>
      <c r="C125" s="669"/>
      <c r="D125" s="719"/>
      <c r="E125" s="669"/>
      <c r="F125" s="669"/>
      <c r="G125" s="669"/>
      <c r="H125" s="669"/>
      <c r="I125" s="669"/>
      <c r="J125" s="669"/>
      <c r="K125" s="669"/>
      <c r="L125" s="669"/>
      <c r="M125" s="669"/>
      <c r="N125" s="669"/>
      <c r="O125" s="669"/>
      <c r="P125" s="669"/>
      <c r="Q125" s="695">
        <f>Q124/Q91</f>
        <v>-4.9707363030008958E-2</v>
      </c>
    </row>
    <row r="126" spans="1:25">
      <c r="A126" s="669"/>
      <c r="B126" s="669"/>
      <c r="C126" s="669"/>
      <c r="D126" s="669"/>
      <c r="E126" s="669"/>
      <c r="F126" s="669"/>
      <c r="G126" s="669"/>
      <c r="H126" s="669"/>
      <c r="I126" s="669"/>
      <c r="J126" s="669"/>
      <c r="K126" s="669"/>
      <c r="L126" s="669"/>
      <c r="M126" s="669"/>
      <c r="N126" s="669"/>
      <c r="O126" s="669"/>
      <c r="P126" s="669"/>
    </row>
    <row r="127" spans="1:25" s="647" customFormat="1">
      <c r="A127" s="696" t="s">
        <v>384</v>
      </c>
      <c r="B127" s="697">
        <f>'Nulmeting 2011'!B16</f>
        <v>0.20531165224649006</v>
      </c>
      <c r="C127" s="697">
        <f>'Nulmeting 2011'!C16</f>
        <v>0</v>
      </c>
      <c r="D127" s="697">
        <f>'Nulmeting 2011'!D16</f>
        <v>0.20200000000000001</v>
      </c>
      <c r="E127" s="697">
        <f>'Nulmeting 2011'!E16</f>
        <v>0.22700000000000001</v>
      </c>
      <c r="F127" s="697">
        <f>'Nulmeting 2011'!F16</f>
        <v>0.26700000000000002</v>
      </c>
      <c r="G127" s="697">
        <f>'Nulmeting 2011'!G16</f>
        <v>0.26700000000000002</v>
      </c>
      <c r="H127" s="697">
        <f>'Nulmeting 2011'!H16</f>
        <v>0.249</v>
      </c>
      <c r="I127" s="697">
        <f>'Nulmeting 2011'!I16</f>
        <v>0.35099999999999998</v>
      </c>
      <c r="J127" s="697">
        <f>'Nulmeting 2011'!J16</f>
        <v>0.35399999999999998</v>
      </c>
      <c r="K127" s="697">
        <f>'Nulmeting 2011'!K16</f>
        <v>0.26400000000000001</v>
      </c>
      <c r="L127" s="697"/>
      <c r="M127" s="697"/>
      <c r="N127" s="697"/>
      <c r="O127" s="697"/>
      <c r="P127" s="697"/>
    </row>
    <row r="128" spans="1:25">
      <c r="A128" s="698" t="s">
        <v>383</v>
      </c>
    </row>
    <row r="130" spans="1:17">
      <c r="A130" s="777" t="s">
        <v>48</v>
      </c>
      <c r="B130" s="780" t="s">
        <v>715</v>
      </c>
      <c r="C130" s="781"/>
      <c r="D130" s="781"/>
      <c r="E130" s="781"/>
      <c r="F130" s="781"/>
      <c r="G130" s="781"/>
      <c r="H130" s="781"/>
      <c r="I130" s="781"/>
      <c r="J130" s="781"/>
      <c r="K130" s="781"/>
      <c r="L130" s="781"/>
      <c r="M130" s="781"/>
      <c r="N130" s="781"/>
      <c r="O130" s="781"/>
      <c r="P130" s="781"/>
      <c r="Q130" s="782"/>
    </row>
    <row r="131" spans="1:17">
      <c r="A131" s="778"/>
      <c r="B131" s="783" t="s">
        <v>2</v>
      </c>
      <c r="C131" s="783" t="s">
        <v>31</v>
      </c>
      <c r="D131" s="785" t="s">
        <v>32</v>
      </c>
      <c r="E131" s="786"/>
      <c r="F131" s="786"/>
      <c r="G131" s="786"/>
      <c r="H131" s="786"/>
      <c r="I131" s="786"/>
      <c r="J131" s="786"/>
      <c r="K131" s="787"/>
      <c r="L131" s="785" t="s">
        <v>33</v>
      </c>
      <c r="M131" s="786"/>
      <c r="N131" s="786"/>
      <c r="O131" s="786"/>
      <c r="P131" s="787"/>
      <c r="Q131" s="783" t="s">
        <v>27</v>
      </c>
    </row>
    <row r="132" spans="1:17" ht="45">
      <c r="A132" s="779"/>
      <c r="B132" s="784"/>
      <c r="C132" s="784"/>
      <c r="D132" s="662" t="s">
        <v>34</v>
      </c>
      <c r="E132" s="662" t="s">
        <v>35</v>
      </c>
      <c r="F132" s="662" t="s">
        <v>36</v>
      </c>
      <c r="G132" s="662" t="s">
        <v>37</v>
      </c>
      <c r="H132" s="662" t="s">
        <v>29</v>
      </c>
      <c r="I132" s="662" t="s">
        <v>38</v>
      </c>
      <c r="J132" s="662" t="s">
        <v>39</v>
      </c>
      <c r="K132" s="662" t="s">
        <v>40</v>
      </c>
      <c r="L132" s="662" t="s">
        <v>41</v>
      </c>
      <c r="M132" s="662" t="s">
        <v>42</v>
      </c>
      <c r="N132" s="662" t="s">
        <v>43</v>
      </c>
      <c r="O132" s="662" t="s">
        <v>44</v>
      </c>
      <c r="P132" s="662" t="s">
        <v>45</v>
      </c>
      <c r="Q132" s="784"/>
    </row>
    <row r="133" spans="1:17">
      <c r="A133" s="663" t="s">
        <v>472</v>
      </c>
      <c r="B133" s="663">
        <f>B121*B$127</f>
        <v>0</v>
      </c>
      <c r="C133" s="663">
        <f t="shared" ref="C133:P133" si="2">C121*C$127</f>
        <v>0</v>
      </c>
      <c r="D133" s="663">
        <f t="shared" si="2"/>
        <v>7061.5885490984938</v>
      </c>
      <c r="E133" s="663">
        <f t="shared" si="2"/>
        <v>116.49488876547898</v>
      </c>
      <c r="F133" s="663">
        <f t="shared" si="2"/>
        <v>1396.6015350991711</v>
      </c>
      <c r="G133" s="663">
        <f t="shared" si="2"/>
        <v>0</v>
      </c>
      <c r="H133" s="663">
        <f t="shared" si="2"/>
        <v>0</v>
      </c>
      <c r="I133" s="663">
        <f t="shared" si="2"/>
        <v>0</v>
      </c>
      <c r="J133" s="663">
        <f t="shared" si="2"/>
        <v>0</v>
      </c>
      <c r="K133" s="663">
        <f t="shared" si="2"/>
        <v>0</v>
      </c>
      <c r="L133" s="663">
        <f t="shared" si="2"/>
        <v>0</v>
      </c>
      <c r="M133" s="663">
        <f t="shared" si="2"/>
        <v>0</v>
      </c>
      <c r="N133" s="663">
        <f t="shared" si="2"/>
        <v>0</v>
      </c>
      <c r="O133" s="663">
        <f t="shared" si="2"/>
        <v>0</v>
      </c>
      <c r="P133" s="663">
        <f t="shared" si="2"/>
        <v>0</v>
      </c>
      <c r="Q133" s="663">
        <f>SUM(B133:P133)</f>
        <v>8574.6849729631431</v>
      </c>
    </row>
    <row r="134" spans="1:17">
      <c r="A134" s="663" t="s">
        <v>132</v>
      </c>
      <c r="B134" s="663">
        <f t="shared" ref="B134:P134" si="3">B122*B$127</f>
        <v>14.883873926086105</v>
      </c>
      <c r="C134" s="663">
        <f t="shared" si="3"/>
        <v>0</v>
      </c>
      <c r="D134" s="663">
        <f t="shared" si="3"/>
        <v>53.250177565706402</v>
      </c>
      <c r="E134" s="663">
        <f t="shared" si="3"/>
        <v>0</v>
      </c>
      <c r="F134" s="663">
        <f t="shared" si="3"/>
        <v>0</v>
      </c>
      <c r="G134" s="663">
        <f t="shared" si="3"/>
        <v>0</v>
      </c>
      <c r="H134" s="663">
        <f t="shared" si="3"/>
        <v>0</v>
      </c>
      <c r="I134" s="663">
        <f t="shared" si="3"/>
        <v>0</v>
      </c>
      <c r="J134" s="663">
        <f t="shared" si="3"/>
        <v>0</v>
      </c>
      <c r="K134" s="663">
        <f t="shared" si="3"/>
        <v>0</v>
      </c>
      <c r="L134" s="663">
        <f t="shared" si="3"/>
        <v>0</v>
      </c>
      <c r="M134" s="663">
        <f t="shared" si="3"/>
        <v>0</v>
      </c>
      <c r="N134" s="663">
        <f t="shared" si="3"/>
        <v>0</v>
      </c>
      <c r="O134" s="663">
        <f t="shared" si="3"/>
        <v>0</v>
      </c>
      <c r="P134" s="663">
        <f t="shared" si="3"/>
        <v>0</v>
      </c>
      <c r="Q134" s="663">
        <f>SUM(B134:P134)</f>
        <v>68.134051491792505</v>
      </c>
    </row>
    <row r="135" spans="1:17">
      <c r="A135" s="663" t="s">
        <v>470</v>
      </c>
      <c r="B135" s="663">
        <f t="shared" ref="B135:P135" si="4">B123*B$127</f>
        <v>5530.9239698402898</v>
      </c>
      <c r="C135" s="663">
        <f t="shared" si="4"/>
        <v>0</v>
      </c>
      <c r="D135" s="663">
        <f t="shared" si="4"/>
        <v>0</v>
      </c>
      <c r="E135" s="663">
        <f t="shared" si="4"/>
        <v>0</v>
      </c>
      <c r="F135" s="663">
        <f t="shared" si="4"/>
        <v>0</v>
      </c>
      <c r="G135" s="663">
        <f t="shared" si="4"/>
        <v>0</v>
      </c>
      <c r="H135" s="663">
        <f t="shared" si="4"/>
        <v>0</v>
      </c>
      <c r="I135" s="663">
        <f t="shared" si="4"/>
        <v>0</v>
      </c>
      <c r="J135" s="663">
        <f t="shared" si="4"/>
        <v>0</v>
      </c>
      <c r="K135" s="663">
        <f t="shared" si="4"/>
        <v>0</v>
      </c>
      <c r="L135" s="663">
        <f t="shared" si="4"/>
        <v>0</v>
      </c>
      <c r="M135" s="663">
        <f t="shared" si="4"/>
        <v>0</v>
      </c>
      <c r="N135" s="663">
        <f t="shared" si="4"/>
        <v>0</v>
      </c>
      <c r="O135" s="663">
        <f t="shared" si="4"/>
        <v>0</v>
      </c>
      <c r="P135" s="663">
        <f t="shared" si="4"/>
        <v>0</v>
      </c>
      <c r="Q135" s="663">
        <f>SUM(B135:P135)</f>
        <v>5530.9239698402898</v>
      </c>
    </row>
  </sheetData>
  <sheetProtection password="849B" sheet="1" objects="1" scenarios="1"/>
  <mergeCells count="28">
    <mergeCell ref="A118:A120"/>
    <mergeCell ref="B118:Q118"/>
    <mergeCell ref="B119:B120"/>
    <mergeCell ref="C119:C120"/>
    <mergeCell ref="D119:K119"/>
    <mergeCell ref="L119:P119"/>
    <mergeCell ref="Q119:Q120"/>
    <mergeCell ref="A88:A90"/>
    <mergeCell ref="B88:Q88"/>
    <mergeCell ref="B89:B90"/>
    <mergeCell ref="C89:C90"/>
    <mergeCell ref="D89:K89"/>
    <mergeCell ref="L89:P89"/>
    <mergeCell ref="Q89:Q90"/>
    <mergeCell ref="A76:A78"/>
    <mergeCell ref="B76:Q76"/>
    <mergeCell ref="B77:B78"/>
    <mergeCell ref="C77:C78"/>
    <mergeCell ref="D77:K77"/>
    <mergeCell ref="L77:P77"/>
    <mergeCell ref="Q77:Q78"/>
    <mergeCell ref="A130:A132"/>
    <mergeCell ref="B130:Q130"/>
    <mergeCell ref="B131:B132"/>
    <mergeCell ref="C131:C132"/>
    <mergeCell ref="D131:K131"/>
    <mergeCell ref="L131:P131"/>
    <mergeCell ref="Q131:Q132"/>
  </mergeCells>
  <hyperlinks>
    <hyperlink ref="H113" r:id="rId1" display="http://ec.europa.eu/enterprise/policies/sustainable-business/ecodesign/product-groups/index_en.htm"/>
    <hyperlink ref="H106" r:id="rId2" display="http://www.oved.be/sites/default/files/upload/3a_P-LP-VEA-BENgebouwen.pdf"/>
    <hyperlink ref="O12" r:id="rId3" display="http://www.viessmann.be/"/>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sheetPr>
  <dimension ref="A1:AW171"/>
  <sheetViews>
    <sheetView workbookViewId="0">
      <selection activeCell="J20" sqref="J20"/>
    </sheetView>
  </sheetViews>
  <sheetFormatPr defaultRowHeight="15"/>
  <cols>
    <col min="1" max="1" width="84.140625" customWidth="1"/>
    <col min="2" max="2" width="29.28515625" customWidth="1"/>
    <col min="3" max="3" width="13.28515625" customWidth="1"/>
    <col min="4" max="4" width="20.28515625" customWidth="1"/>
    <col min="5" max="5" width="30" customWidth="1"/>
    <col min="6" max="6" width="16.42578125" customWidth="1"/>
    <col min="7" max="7" width="58.5703125" customWidth="1"/>
    <col min="8" max="8" width="16.85546875" customWidth="1"/>
    <col min="9" max="9" width="66.42578125" customWidth="1"/>
    <col min="10" max="10" width="58.42578125" customWidth="1"/>
    <col min="11" max="11" width="24.5703125" customWidth="1"/>
    <col min="12" max="12" width="26.140625" bestFit="1" customWidth="1"/>
    <col min="13" max="13" width="31.7109375" customWidth="1"/>
    <col min="14" max="14" width="26" customWidth="1"/>
    <col min="15" max="15" width="38.85546875" customWidth="1"/>
    <col min="16" max="16" width="13.28515625" customWidth="1"/>
    <col min="17" max="17" width="51.42578125" bestFit="1" customWidth="1"/>
    <col min="18" max="18" width="51.42578125" style="2" bestFit="1" customWidth="1"/>
    <col min="19" max="19" width="11.85546875" style="2" bestFit="1" customWidth="1"/>
    <col min="20" max="21" width="9.140625" style="2"/>
    <col min="22" max="22" width="24" style="2" customWidth="1"/>
    <col min="23" max="23" width="30.7109375" style="2" customWidth="1"/>
    <col min="24" max="49" width="9.140625" style="2"/>
  </cols>
  <sheetData>
    <row r="1" spans="1:49" s="95" customFormat="1" ht="18.75">
      <c r="A1" s="142" t="s">
        <v>171</v>
      </c>
    </row>
    <row r="2" spans="1:49" s="95" customFormat="1">
      <c r="A2" s="96" t="s">
        <v>374</v>
      </c>
    </row>
    <row r="3" spans="1:49">
      <c r="I3" s="95"/>
      <c r="J3" s="95"/>
      <c r="K3" s="95"/>
      <c r="L3" s="95"/>
      <c r="M3" s="95"/>
      <c r="N3" s="95"/>
      <c r="O3" s="95"/>
      <c r="P3" s="95"/>
      <c r="Q3" s="95"/>
      <c r="R3" s="95"/>
      <c r="S3" s="95"/>
      <c r="T3" s="95"/>
      <c r="U3" s="95"/>
      <c r="V3" s="95"/>
      <c r="W3" s="95"/>
      <c r="X3" s="95"/>
      <c r="Y3" s="95"/>
    </row>
    <row r="4" spans="1:49" ht="18.75">
      <c r="A4" s="145" t="s">
        <v>542</v>
      </c>
      <c r="B4" s="141"/>
      <c r="C4" s="141"/>
      <c r="D4" s="141"/>
      <c r="E4" s="141"/>
      <c r="F4" s="141"/>
      <c r="G4" s="146"/>
      <c r="I4" s="145" t="s">
        <v>718</v>
      </c>
      <c r="J4" s="141"/>
      <c r="K4" s="141"/>
      <c r="L4" s="141"/>
      <c r="M4" s="141"/>
      <c r="N4" s="141"/>
      <c r="O4" s="146"/>
      <c r="P4" s="95"/>
      <c r="Q4" s="95"/>
      <c r="R4" s="95"/>
      <c r="S4" s="95"/>
      <c r="T4" s="95"/>
      <c r="U4" s="95"/>
      <c r="V4" s="95"/>
      <c r="W4" s="95"/>
      <c r="X4" s="95"/>
      <c r="Y4" s="95"/>
    </row>
    <row r="5" spans="1:49">
      <c r="A5" s="147" t="s">
        <v>541</v>
      </c>
      <c r="B5" s="140"/>
      <c r="C5" s="140"/>
      <c r="D5" s="140"/>
      <c r="E5" s="140"/>
      <c r="F5" s="140"/>
      <c r="G5" s="320"/>
      <c r="I5" s="147" t="s">
        <v>541</v>
      </c>
      <c r="J5" s="140"/>
      <c r="K5" s="140"/>
      <c r="L5" s="140"/>
      <c r="M5" s="140"/>
      <c r="N5" s="140"/>
      <c r="O5" s="320"/>
      <c r="P5" s="95"/>
      <c r="Q5" s="95"/>
      <c r="R5" s="95"/>
      <c r="S5" s="95"/>
      <c r="T5" s="95"/>
      <c r="U5" s="95"/>
      <c r="V5" s="95"/>
      <c r="W5" s="95"/>
      <c r="X5" s="95"/>
      <c r="Y5" s="95"/>
    </row>
    <row r="6" spans="1:49">
      <c r="A6" s="148"/>
      <c r="B6" s="164">
        <v>0.05</v>
      </c>
      <c r="C6" s="4" t="s">
        <v>575</v>
      </c>
      <c r="D6" s="4"/>
      <c r="E6" s="4"/>
      <c r="F6" s="143"/>
      <c r="G6" s="255"/>
      <c r="I6" s="148"/>
      <c r="J6" s="164">
        <v>0.1</v>
      </c>
      <c r="K6" s="4" t="s">
        <v>628</v>
      </c>
      <c r="L6" s="4"/>
      <c r="M6" s="4"/>
      <c r="N6" s="143"/>
      <c r="O6" s="255"/>
      <c r="P6" s="95"/>
      <c r="Q6" s="95"/>
      <c r="R6" s="95"/>
      <c r="S6" s="95"/>
      <c r="T6" s="95"/>
      <c r="U6" s="95"/>
      <c r="V6" s="95"/>
      <c r="W6" s="95"/>
      <c r="X6" s="95"/>
      <c r="Y6" s="95"/>
    </row>
    <row r="7" spans="1:49">
      <c r="A7" s="148"/>
      <c r="B7" s="370"/>
      <c r="C7" s="4"/>
      <c r="D7" s="4"/>
      <c r="E7" s="4"/>
      <c r="F7" s="4"/>
      <c r="G7" s="255"/>
      <c r="I7" s="148"/>
      <c r="J7" s="370"/>
      <c r="K7" s="4"/>
      <c r="L7" s="4"/>
      <c r="M7" s="4"/>
      <c r="N7" s="4"/>
      <c r="O7" s="255"/>
      <c r="P7" s="95"/>
      <c r="Q7" s="95"/>
      <c r="R7" s="95"/>
      <c r="S7" s="95"/>
      <c r="T7" s="95"/>
      <c r="U7" s="95"/>
      <c r="V7" s="95"/>
      <c r="W7" s="95"/>
      <c r="X7" s="95"/>
      <c r="Y7" s="95"/>
    </row>
    <row r="8" spans="1:49" ht="105">
      <c r="A8" s="149" t="s">
        <v>133</v>
      </c>
      <c r="B8" s="431">
        <v>0.15</v>
      </c>
      <c r="C8" s="430" t="s">
        <v>619</v>
      </c>
      <c r="D8" s="430"/>
      <c r="E8" s="430"/>
      <c r="F8" s="430"/>
      <c r="G8" s="255" t="s">
        <v>660</v>
      </c>
      <c r="I8" s="149" t="s">
        <v>133</v>
      </c>
      <c r="J8" s="304" t="s">
        <v>666</v>
      </c>
      <c r="K8" s="529"/>
      <c r="L8" s="530"/>
      <c r="M8" s="530"/>
      <c r="N8" s="530"/>
      <c r="O8" s="323"/>
      <c r="P8" s="95"/>
      <c r="Q8" s="95"/>
      <c r="R8" s="95"/>
      <c r="S8" s="95"/>
      <c r="T8" s="95"/>
      <c r="U8" s="95"/>
      <c r="V8" s="95"/>
      <c r="W8" s="95"/>
      <c r="X8" s="95"/>
      <c r="Y8" s="95"/>
    </row>
    <row r="9" spans="1:49">
      <c r="A9" s="147" t="s">
        <v>175</v>
      </c>
      <c r="B9" s="140"/>
      <c r="C9" s="140"/>
      <c r="D9" s="140"/>
      <c r="E9" s="140"/>
      <c r="F9" s="140"/>
      <c r="G9" s="320"/>
      <c r="I9" s="147" t="s">
        <v>175</v>
      </c>
      <c r="J9" s="140"/>
      <c r="K9" s="140"/>
      <c r="L9" s="140"/>
      <c r="M9" s="140"/>
      <c r="N9" s="140"/>
      <c r="O9" s="320"/>
      <c r="P9" s="95"/>
      <c r="Q9" s="95"/>
      <c r="R9" s="95"/>
      <c r="S9" s="95"/>
      <c r="T9" s="95"/>
      <c r="U9" s="95"/>
      <c r="V9" s="95"/>
      <c r="W9" s="95"/>
      <c r="X9" s="95"/>
      <c r="Y9" s="95"/>
    </row>
    <row r="10" spans="1:49">
      <c r="A10" s="148" t="s">
        <v>173</v>
      </c>
      <c r="B10" s="4"/>
      <c r="C10" s="4"/>
      <c r="D10" s="4"/>
      <c r="E10" s="4"/>
      <c r="F10" s="4"/>
      <c r="G10" s="255"/>
      <c r="I10" s="148" t="s">
        <v>173</v>
      </c>
      <c r="J10" s="4"/>
      <c r="K10" s="4"/>
      <c r="L10" s="4"/>
      <c r="M10" s="4"/>
      <c r="N10" s="4"/>
      <c r="O10" s="255"/>
      <c r="P10" s="95"/>
      <c r="Q10" s="95"/>
      <c r="R10" s="95"/>
      <c r="S10" s="95"/>
      <c r="T10" s="95"/>
      <c r="U10" s="95"/>
      <c r="V10" s="95"/>
      <c r="W10" s="95"/>
      <c r="X10" s="95"/>
      <c r="Y10" s="95"/>
    </row>
    <row r="11" spans="1:49">
      <c r="A11" s="148"/>
      <c r="B11" s="4"/>
      <c r="C11" s="4"/>
      <c r="D11" s="4"/>
      <c r="E11" s="4"/>
      <c r="F11" s="4"/>
      <c r="G11" s="255"/>
      <c r="I11" s="148"/>
      <c r="J11" s="4"/>
      <c r="K11" s="4"/>
      <c r="L11" s="4"/>
      <c r="M11" s="4"/>
      <c r="N11" s="4"/>
      <c r="O11" s="255"/>
      <c r="P11" s="95"/>
      <c r="Q11" s="95"/>
      <c r="R11" s="95"/>
      <c r="S11" s="95"/>
      <c r="T11" s="95"/>
      <c r="U11" s="95"/>
      <c r="V11" s="95"/>
      <c r="W11" s="95"/>
      <c r="X11" s="95"/>
      <c r="Y11" s="95"/>
    </row>
    <row r="12" spans="1:49" ht="15" customHeight="1">
      <c r="A12" s="253" t="s">
        <v>545</v>
      </c>
      <c r="B12" s="550">
        <f>'data '!D73+'data '!D76+'data '!D79</f>
        <v>119965700</v>
      </c>
      <c r="C12" s="254" t="s">
        <v>544</v>
      </c>
      <c r="D12" s="324"/>
      <c r="E12" s="324"/>
      <c r="F12" s="324"/>
      <c r="G12" s="325"/>
      <c r="I12" s="253" t="s">
        <v>545</v>
      </c>
      <c r="J12" s="550">
        <f>'data '!D73+'data '!D76+'data '!D79</f>
        <v>119965700</v>
      </c>
      <c r="K12" s="254" t="s">
        <v>544</v>
      </c>
      <c r="L12" s="324"/>
      <c r="M12" s="324"/>
      <c r="N12" s="324"/>
      <c r="O12" s="325"/>
      <c r="P12" s="95"/>
      <c r="Q12" s="95"/>
      <c r="R12" s="95"/>
      <c r="S12" s="95"/>
      <c r="T12" s="95"/>
      <c r="U12" s="95"/>
      <c r="V12" s="95"/>
      <c r="W12" s="95"/>
      <c r="X12" s="95"/>
      <c r="Y12" s="95"/>
    </row>
    <row r="13" spans="1:49">
      <c r="A13" s="254" t="s">
        <v>594</v>
      </c>
      <c r="B13" s="550">
        <f>B6*B12</f>
        <v>5998285</v>
      </c>
      <c r="C13" s="1" t="s">
        <v>544</v>
      </c>
      <c r="D13" s="434"/>
      <c r="E13" s="324"/>
      <c r="F13" s="324"/>
      <c r="G13" s="325"/>
      <c r="I13" s="253" t="s">
        <v>594</v>
      </c>
      <c r="J13" s="550">
        <f>J6*J12</f>
        <v>11996570</v>
      </c>
      <c r="K13" s="1" t="s">
        <v>544</v>
      </c>
      <c r="L13" s="324"/>
      <c r="M13" s="324"/>
      <c r="N13" s="324"/>
      <c r="O13" s="325"/>
      <c r="P13" s="95"/>
      <c r="Q13" s="95"/>
      <c r="R13" s="95"/>
      <c r="S13" s="95"/>
      <c r="T13" s="95"/>
      <c r="U13" s="95"/>
      <c r="V13" s="95"/>
      <c r="W13" s="95"/>
      <c r="X13" s="95"/>
      <c r="Y13" s="95"/>
    </row>
    <row r="14" spans="1:49" s="8" customFormat="1">
      <c r="A14" s="253" t="s">
        <v>679</v>
      </c>
      <c r="B14" s="550">
        <v>136</v>
      </c>
      <c r="C14" s="254" t="s">
        <v>590</v>
      </c>
      <c r="D14" s="324"/>
      <c r="E14" s="324"/>
      <c r="F14" s="324"/>
      <c r="G14" s="150" t="s">
        <v>576</v>
      </c>
      <c r="I14" s="253" t="s">
        <v>595</v>
      </c>
      <c r="J14" s="550">
        <v>135</v>
      </c>
      <c r="K14" s="254" t="s">
        <v>590</v>
      </c>
      <c r="M14" s="324"/>
      <c r="N14" s="324"/>
      <c r="O14" s="255" t="s">
        <v>576</v>
      </c>
      <c r="P14" s="95"/>
      <c r="Q14" s="95"/>
      <c r="R14" s="95"/>
      <c r="S14" s="95"/>
      <c r="T14" s="95"/>
      <c r="U14" s="95"/>
      <c r="V14" s="95"/>
      <c r="W14" s="95"/>
      <c r="X14" s="95"/>
      <c r="Y14" s="95"/>
      <c r="Z14" s="573"/>
      <c r="AA14" s="573"/>
      <c r="AB14" s="573"/>
      <c r="AC14" s="573"/>
      <c r="AD14" s="573"/>
      <c r="AE14" s="573"/>
      <c r="AF14" s="573"/>
      <c r="AG14" s="573"/>
      <c r="AH14" s="573"/>
      <c r="AI14" s="573"/>
      <c r="AJ14" s="573"/>
      <c r="AK14" s="573"/>
      <c r="AL14" s="573"/>
      <c r="AM14" s="573"/>
      <c r="AN14" s="573"/>
      <c r="AO14" s="573"/>
      <c r="AP14" s="573"/>
      <c r="AQ14" s="573"/>
      <c r="AR14" s="573"/>
      <c r="AS14" s="573"/>
      <c r="AT14" s="573"/>
      <c r="AU14" s="573"/>
      <c r="AV14" s="573"/>
      <c r="AW14" s="573"/>
    </row>
    <row r="15" spans="1:49">
      <c r="A15" s="253" t="s">
        <v>678</v>
      </c>
      <c r="B15" s="551">
        <v>5.3936114589363878E-4</v>
      </c>
      <c r="C15" s="254" t="s">
        <v>621</v>
      </c>
      <c r="D15" s="324"/>
      <c r="E15" s="324"/>
      <c r="F15" s="324"/>
      <c r="G15" s="150" t="s">
        <v>576</v>
      </c>
      <c r="I15" s="253" t="s">
        <v>596</v>
      </c>
      <c r="J15" s="553">
        <f>('ECF transport '!F60*10^9/3600)*B147*1000000</f>
        <v>48.495715247738751</v>
      </c>
      <c r="K15" s="254" t="s">
        <v>590</v>
      </c>
      <c r="M15" s="324"/>
      <c r="N15" s="324"/>
      <c r="O15" s="255" t="s">
        <v>576</v>
      </c>
      <c r="P15" s="95"/>
      <c r="Q15" s="95"/>
      <c r="R15" s="95"/>
      <c r="S15" s="95"/>
      <c r="T15" s="95"/>
      <c r="U15" s="95"/>
      <c r="V15" s="95"/>
      <c r="W15" s="95"/>
      <c r="X15" s="95"/>
      <c r="Y15" s="95"/>
    </row>
    <row r="16" spans="1:49" s="1" customFormat="1">
      <c r="E16" s="254"/>
      <c r="F16" s="254"/>
      <c r="G16" s="255"/>
      <c r="I16" s="149"/>
      <c r="M16" s="254"/>
      <c r="N16" s="254"/>
      <c r="O16" s="255"/>
      <c r="P16" s="95"/>
      <c r="Q16" s="95"/>
      <c r="R16" s="95"/>
      <c r="S16" s="95"/>
      <c r="T16" s="95"/>
      <c r="U16" s="95"/>
      <c r="V16" s="95"/>
      <c r="W16" s="95"/>
      <c r="X16" s="95"/>
      <c r="Y16" s="95"/>
      <c r="Z16" s="9"/>
      <c r="AA16" s="9"/>
      <c r="AB16" s="9"/>
      <c r="AC16" s="9"/>
      <c r="AD16" s="9"/>
      <c r="AE16" s="9"/>
      <c r="AF16" s="9"/>
      <c r="AG16" s="9"/>
      <c r="AH16" s="9"/>
      <c r="AI16" s="9"/>
      <c r="AJ16" s="9"/>
      <c r="AK16" s="9"/>
      <c r="AL16" s="9"/>
      <c r="AM16" s="9"/>
      <c r="AN16" s="9"/>
      <c r="AO16" s="9"/>
      <c r="AP16" s="9"/>
      <c r="AQ16" s="9"/>
      <c r="AR16" s="9"/>
      <c r="AS16" s="9"/>
      <c r="AT16" s="9"/>
      <c r="AU16" s="9"/>
      <c r="AV16" s="9"/>
      <c r="AW16" s="9"/>
    </row>
    <row r="17" spans="1:25">
      <c r="A17" s="147" t="s">
        <v>180</v>
      </c>
      <c r="B17" s="140"/>
      <c r="C17" s="140"/>
      <c r="D17" s="140"/>
      <c r="E17" s="140"/>
      <c r="F17" s="140"/>
      <c r="G17" s="320"/>
      <c r="H17" s="138"/>
      <c r="I17" s="147" t="s">
        <v>180</v>
      </c>
      <c r="J17" s="140"/>
      <c r="K17" s="140"/>
      <c r="L17" s="140"/>
      <c r="M17" s="140"/>
      <c r="N17" s="140"/>
      <c r="O17" s="320"/>
      <c r="P17" s="95"/>
      <c r="Q17" s="95"/>
      <c r="R17" s="95"/>
      <c r="S17" s="95"/>
      <c r="T17" s="95"/>
      <c r="U17" s="95"/>
      <c r="V17" s="95"/>
      <c r="W17" s="95"/>
      <c r="X17" s="95"/>
      <c r="Y17" s="95"/>
    </row>
    <row r="18" spans="1:25">
      <c r="A18" s="148" t="s">
        <v>141</v>
      </c>
      <c r="B18" s="144">
        <f>B13*B15</f>
        <v>3235.241870996625</v>
      </c>
      <c r="C18" s="4" t="s">
        <v>30</v>
      </c>
      <c r="D18" s="437"/>
      <c r="E18" s="437"/>
      <c r="F18" s="437"/>
      <c r="G18" s="438"/>
      <c r="H18" s="138"/>
      <c r="I18" s="148" t="s">
        <v>141</v>
      </c>
      <c r="J18" s="144">
        <f>J20-J24</f>
        <v>3553.3826634330326</v>
      </c>
      <c r="K18" s="4" t="s">
        <v>30</v>
      </c>
      <c r="L18" s="437"/>
      <c r="M18" s="437"/>
      <c r="N18" s="437"/>
      <c r="O18" s="438"/>
      <c r="P18" s="95"/>
      <c r="Q18" s="95"/>
      <c r="R18" s="95"/>
      <c r="S18" s="95"/>
      <c r="T18" s="95"/>
      <c r="U18" s="95"/>
      <c r="V18" s="95"/>
      <c r="W18" s="95"/>
      <c r="X18" s="95"/>
      <c r="Y18" s="95"/>
    </row>
    <row r="19" spans="1:25">
      <c r="A19" s="148" t="s">
        <v>478</v>
      </c>
      <c r="B19" s="531">
        <f>C22*'energieprijs en discontovoet'!B21 + C24*'energieprijs en discontovoet'!B23</f>
        <v>407.19379696943656</v>
      </c>
      <c r="C19" s="505" t="s">
        <v>479</v>
      </c>
      <c r="D19" s="437"/>
      <c r="E19" s="437"/>
      <c r="F19" s="437"/>
      <c r="G19" s="438"/>
      <c r="H19" s="138"/>
      <c r="I19" s="532" t="s">
        <v>478</v>
      </c>
      <c r="J19" s="553">
        <f>J21*'energieprijs en discontovoet'!B21-J24*'energieprijs en discontovoet'!B6*1000</f>
        <v>289583.58207931544</v>
      </c>
      <c r="K19" s="532" t="s">
        <v>597</v>
      </c>
      <c r="L19" s="532"/>
      <c r="M19" s="532"/>
      <c r="N19" s="532"/>
      <c r="O19" s="534"/>
      <c r="P19" s="95"/>
      <c r="Q19" s="95"/>
      <c r="R19" s="95"/>
      <c r="S19" s="95"/>
      <c r="T19" s="95"/>
      <c r="U19" s="95"/>
      <c r="V19" s="95"/>
      <c r="W19" s="95"/>
      <c r="X19" s="95"/>
      <c r="Y19" s="95"/>
    </row>
    <row r="20" spans="1:25">
      <c r="A20" s="148"/>
      <c r="B20" s="437"/>
      <c r="C20" s="461">
        <f>G146/SUM(G146,H146)</f>
        <v>0.79937868543377733</v>
      </c>
      <c r="D20" s="453" t="s">
        <v>625</v>
      </c>
      <c r="E20" s="437"/>
      <c r="F20" s="437"/>
      <c r="G20" s="438"/>
      <c r="H20" s="138"/>
      <c r="I20" s="452"/>
      <c r="J20" s="554">
        <f>J13*J22</f>
        <v>6387.0369460993552</v>
      </c>
      <c r="K20" s="454" t="s">
        <v>623</v>
      </c>
      <c r="L20" s="454"/>
      <c r="M20" s="454"/>
      <c r="N20" s="454"/>
      <c r="O20" s="534"/>
      <c r="P20" s="95"/>
      <c r="Q20" s="95"/>
      <c r="R20" s="95"/>
      <c r="S20" s="95"/>
      <c r="T20" s="95"/>
      <c r="U20" s="95"/>
      <c r="V20" s="95"/>
      <c r="W20" s="95"/>
      <c r="X20" s="95"/>
      <c r="Y20" s="95"/>
    </row>
    <row r="21" spans="1:25">
      <c r="A21" s="148"/>
      <c r="C21" s="745">
        <f>C20*B18</f>
        <v>2586.1833938975965</v>
      </c>
      <c r="D21" s="453" t="s">
        <v>623</v>
      </c>
      <c r="E21" s="437"/>
      <c r="F21" s="437"/>
      <c r="G21" s="438"/>
      <c r="H21" s="138"/>
      <c r="I21" s="452"/>
      <c r="J21" s="554">
        <f>(J20*3600/10^9)*1000000/D113/B113</f>
        <v>618992.39753735636</v>
      </c>
      <c r="K21" s="454" t="s">
        <v>626</v>
      </c>
      <c r="L21" s="454"/>
      <c r="M21" s="454"/>
      <c r="N21" s="454"/>
      <c r="O21" s="534"/>
      <c r="P21" s="95"/>
      <c r="Q21" s="95"/>
      <c r="R21" s="95"/>
      <c r="S21" s="95"/>
      <c r="T21" s="95"/>
      <c r="U21" s="95"/>
      <c r="V21" s="95"/>
      <c r="W21" s="95"/>
      <c r="X21" s="95"/>
      <c r="Y21" s="95"/>
    </row>
    <row r="22" spans="1:25">
      <c r="A22" s="148"/>
      <c r="C22" s="462">
        <f>(C21*3600/10^9)*1000/D113/B113</f>
        <v>250.63701258806972</v>
      </c>
      <c r="D22" s="456" t="s">
        <v>626</v>
      </c>
      <c r="E22" s="437"/>
      <c r="F22" s="437"/>
      <c r="G22" s="438"/>
      <c r="H22" s="138"/>
      <c r="I22" s="452"/>
      <c r="J22" s="552">
        <v>5.3240525801119445E-4</v>
      </c>
      <c r="K22" s="454" t="s">
        <v>671</v>
      </c>
      <c r="L22" s="454"/>
      <c r="M22" s="454"/>
      <c r="N22" s="454"/>
      <c r="O22" s="534"/>
      <c r="P22" s="95"/>
      <c r="Q22" s="95"/>
      <c r="R22" s="95"/>
      <c r="S22" s="95"/>
      <c r="T22" s="95"/>
      <c r="U22" s="95"/>
      <c r="V22" s="95"/>
      <c r="W22" s="95"/>
      <c r="X22" s="95"/>
      <c r="Y22" s="95"/>
    </row>
    <row r="23" spans="1:25">
      <c r="A23" s="148"/>
      <c r="B23" s="462"/>
      <c r="C23" s="462">
        <f>B18-C21</f>
        <v>649.05847709902855</v>
      </c>
      <c r="D23" s="453" t="s">
        <v>624</v>
      </c>
      <c r="E23" s="437"/>
      <c r="F23" s="437"/>
      <c r="G23" s="438"/>
      <c r="H23" s="138"/>
      <c r="I23" s="452"/>
      <c r="J23" s="552">
        <f>(('energieprijs en discontovoet'!B21/B113)/D113)/277.78</f>
        <v>0.11867007089200655</v>
      </c>
      <c r="K23" s="454" t="s">
        <v>672</v>
      </c>
      <c r="L23" s="454"/>
      <c r="M23" s="454"/>
      <c r="N23" s="454"/>
      <c r="O23" s="534"/>
      <c r="P23" s="95"/>
      <c r="Q23" s="95"/>
      <c r="R23" s="95"/>
      <c r="S23" s="95"/>
      <c r="T23" s="95"/>
      <c r="U23" s="95"/>
      <c r="V23" s="95"/>
      <c r="W23" s="95"/>
      <c r="X23" s="95"/>
      <c r="Y23" s="95"/>
    </row>
    <row r="24" spans="1:25">
      <c r="A24" s="148"/>
      <c r="B24" s="462"/>
      <c r="C24" s="462">
        <f>(C23*3600/10^9)*1000/D120/B120</f>
        <v>70.412676441301102</v>
      </c>
      <c r="D24" s="453" t="s">
        <v>627</v>
      </c>
      <c r="E24" s="437"/>
      <c r="F24" s="437"/>
      <c r="G24" s="438"/>
      <c r="H24" s="138"/>
      <c r="I24" s="452"/>
      <c r="J24" s="555">
        <f>J13*J25</f>
        <v>2833.6542826663226</v>
      </c>
      <c r="K24" s="453" t="s">
        <v>673</v>
      </c>
      <c r="L24" s="453"/>
      <c r="M24" s="453"/>
      <c r="N24" s="453"/>
      <c r="O24" s="534"/>
      <c r="P24" s="95"/>
      <c r="Q24" s="95"/>
      <c r="R24" s="95"/>
      <c r="S24" s="95"/>
      <c r="T24" s="95"/>
      <c r="U24" s="95"/>
      <c r="V24" s="95"/>
      <c r="W24" s="95"/>
      <c r="X24" s="95"/>
      <c r="Y24" s="95"/>
    </row>
    <row r="25" spans="1:25">
      <c r="E25" s="437"/>
      <c r="F25" s="437"/>
      <c r="G25" s="438"/>
      <c r="H25" s="138"/>
      <c r="I25" s="439"/>
      <c r="J25" s="552">
        <v>2.3620537225776389E-4</v>
      </c>
      <c r="K25" s="454" t="s">
        <v>674</v>
      </c>
      <c r="L25" s="454"/>
      <c r="M25" s="454"/>
      <c r="N25" s="440"/>
      <c r="O25" s="533"/>
      <c r="P25" s="95"/>
      <c r="Q25" s="95"/>
      <c r="R25" s="95"/>
      <c r="S25" s="95"/>
      <c r="T25" s="95"/>
      <c r="U25" s="95"/>
      <c r="V25" s="95"/>
      <c r="W25" s="95"/>
      <c r="X25" s="95"/>
      <c r="Y25" s="95"/>
    </row>
    <row r="26" spans="1:25">
      <c r="A26" s="148" t="s">
        <v>480</v>
      </c>
      <c r="B26" s="536" t="s">
        <v>675</v>
      </c>
      <c r="C26" s="437"/>
      <c r="D26" s="437"/>
      <c r="E26" s="4"/>
      <c r="F26" s="4"/>
      <c r="G26" s="255"/>
      <c r="H26" s="138"/>
      <c r="I26" s="452" t="s">
        <v>507</v>
      </c>
      <c r="J26" s="535">
        <f>K28*K29</f>
        <v>1393145.9985913592</v>
      </c>
      <c r="K26" s="440" t="s">
        <v>615</v>
      </c>
      <c r="L26" s="437"/>
      <c r="M26" s="437"/>
      <c r="N26" s="437"/>
      <c r="O26" s="438"/>
      <c r="P26" s="95"/>
      <c r="Q26" s="95"/>
      <c r="R26" s="95"/>
      <c r="S26" s="95"/>
      <c r="T26" s="95"/>
      <c r="U26" s="95"/>
      <c r="V26" s="95"/>
      <c r="W26" s="95"/>
      <c r="X26" s="95"/>
      <c r="Y26" s="95"/>
    </row>
    <row r="27" spans="1:25">
      <c r="E27" s="4"/>
      <c r="F27" s="4"/>
      <c r="G27" s="255"/>
      <c r="H27" s="138"/>
      <c r="I27" s="436"/>
      <c r="J27" s="507" t="s">
        <v>607</v>
      </c>
      <c r="K27" s="555">
        <v>8709</v>
      </c>
      <c r="L27" s="454" t="s">
        <v>662</v>
      </c>
      <c r="M27" s="437"/>
      <c r="N27" s="437"/>
      <c r="O27" s="506" t="s">
        <v>670</v>
      </c>
      <c r="P27" s="95"/>
      <c r="Q27" s="95"/>
      <c r="R27" s="95"/>
      <c r="S27" s="95"/>
      <c r="T27" s="95"/>
      <c r="U27" s="95"/>
      <c r="V27" s="95"/>
      <c r="W27" s="95"/>
      <c r="X27" s="95"/>
      <c r="Y27" s="95"/>
    </row>
    <row r="28" spans="1:25">
      <c r="E28" s="437"/>
      <c r="F28" s="437"/>
      <c r="G28" s="438"/>
      <c r="H28" s="138"/>
      <c r="I28" s="436"/>
      <c r="J28" s="507" t="s">
        <v>609</v>
      </c>
      <c r="K28" s="555">
        <f>ROUND(J13/K27,0)</f>
        <v>1377</v>
      </c>
      <c r="L28" s="455"/>
      <c r="M28" s="437"/>
      <c r="N28" s="437"/>
      <c r="O28" s="438"/>
      <c r="P28" s="95"/>
      <c r="Q28" s="95"/>
      <c r="R28" s="95"/>
      <c r="S28" s="95"/>
      <c r="T28" s="95"/>
      <c r="U28" s="95"/>
      <c r="V28" s="95"/>
      <c r="W28" s="95"/>
      <c r="X28" s="95"/>
      <c r="Y28" s="95"/>
    </row>
    <row r="29" spans="1:25">
      <c r="G29" s="438"/>
      <c r="H29" s="138"/>
      <c r="I29" s="436"/>
      <c r="J29" s="507" t="s">
        <v>608</v>
      </c>
      <c r="K29" s="554">
        <f>M33</f>
        <v>1011.7254891731004</v>
      </c>
      <c r="L29" s="453" t="s">
        <v>676</v>
      </c>
      <c r="M29" s="437"/>
      <c r="N29" s="437"/>
      <c r="O29" s="506" t="s">
        <v>611</v>
      </c>
      <c r="P29" s="95"/>
      <c r="Q29" s="95"/>
      <c r="R29" s="95"/>
      <c r="S29" s="95"/>
      <c r="T29" s="95"/>
      <c r="U29" s="95"/>
      <c r="V29" s="95"/>
      <c r="W29" s="95"/>
      <c r="X29" s="95"/>
      <c r="Y29" s="95"/>
    </row>
    <row r="30" spans="1:25">
      <c r="G30" s="438"/>
      <c r="H30" s="138"/>
      <c r="I30" s="436"/>
      <c r="J30" s="464"/>
      <c r="K30" s="454"/>
      <c r="L30" s="453"/>
      <c r="M30" s="437"/>
      <c r="N30" s="437"/>
      <c r="O30" s="438"/>
      <c r="P30" s="95"/>
      <c r="Q30" s="95"/>
      <c r="R30" s="95"/>
      <c r="S30" s="95"/>
      <c r="T30" s="95"/>
      <c r="U30" s="95"/>
      <c r="V30" s="95"/>
      <c r="W30" s="95"/>
      <c r="X30" s="95"/>
      <c r="Y30" s="95"/>
    </row>
    <row r="31" spans="1:25">
      <c r="G31" s="438"/>
      <c r="H31" s="138"/>
      <c r="I31" s="436"/>
      <c r="J31" s="537" t="s">
        <v>603</v>
      </c>
      <c r="K31" s="540" t="s">
        <v>604</v>
      </c>
      <c r="L31" s="540" t="s">
        <v>605</v>
      </c>
      <c r="M31" s="540" t="s">
        <v>680</v>
      </c>
      <c r="N31" s="540" t="s">
        <v>681</v>
      </c>
      <c r="O31" s="438"/>
      <c r="P31" s="95"/>
      <c r="Q31" s="95"/>
      <c r="R31" s="95"/>
      <c r="S31" s="95"/>
      <c r="T31" s="95"/>
      <c r="U31" s="95"/>
      <c r="V31" s="95"/>
      <c r="W31" s="95"/>
      <c r="X31" s="95"/>
      <c r="Y31" s="95"/>
    </row>
    <row r="32" spans="1:25">
      <c r="G32" s="438"/>
      <c r="H32" s="138"/>
      <c r="I32" s="436"/>
      <c r="J32" s="538" t="s">
        <v>606</v>
      </c>
      <c r="K32" s="556">
        <v>11</v>
      </c>
      <c r="L32" s="556">
        <v>0</v>
      </c>
      <c r="M32" s="556">
        <v>0</v>
      </c>
      <c r="N32" s="541">
        <f>'energieprijs en discontovoet'!C39</f>
        <v>0.04</v>
      </c>
      <c r="O32" s="438"/>
      <c r="P32" s="95"/>
      <c r="Q32" s="95"/>
      <c r="R32" s="95"/>
      <c r="S32" s="95"/>
      <c r="T32" s="95"/>
      <c r="U32" s="95"/>
      <c r="V32" s="95"/>
      <c r="W32" s="95"/>
      <c r="X32" s="95"/>
      <c r="Y32" s="95"/>
    </row>
    <row r="33" spans="1:49">
      <c r="G33" s="438"/>
      <c r="H33" s="138"/>
      <c r="I33" s="436"/>
      <c r="J33" s="538" t="s">
        <v>25</v>
      </c>
      <c r="K33" s="556">
        <v>10</v>
      </c>
      <c r="L33" s="556">
        <v>8206</v>
      </c>
      <c r="M33" s="556">
        <f>-PMT(N32,'MTRG TRANSPORT'!K33,L33)</f>
        <v>1011.7254891731004</v>
      </c>
      <c r="N33" s="539"/>
      <c r="O33" s="438"/>
      <c r="P33" s="95"/>
      <c r="Q33" s="95"/>
      <c r="R33" s="95"/>
      <c r="S33" s="95"/>
      <c r="T33" s="95"/>
      <c r="U33" s="95"/>
      <c r="V33" s="95"/>
      <c r="W33" s="95"/>
      <c r="X33" s="95"/>
      <c r="Y33" s="95"/>
    </row>
    <row r="34" spans="1:49">
      <c r="G34" s="438"/>
      <c r="H34" s="138"/>
      <c r="I34" s="436"/>
      <c r="J34" s="464"/>
      <c r="K34" s="454"/>
      <c r="L34" s="453"/>
      <c r="M34" s="437"/>
      <c r="N34" s="437"/>
      <c r="O34" s="438"/>
      <c r="P34" s="95"/>
      <c r="Q34" s="95"/>
      <c r="R34" s="95"/>
      <c r="S34" s="95"/>
      <c r="T34" s="95"/>
      <c r="U34" s="95"/>
      <c r="V34" s="95"/>
      <c r="W34" s="95"/>
      <c r="X34" s="95"/>
      <c r="Y34" s="95"/>
    </row>
    <row r="35" spans="1:49">
      <c r="A35" s="148" t="s">
        <v>145</v>
      </c>
      <c r="B35" s="289">
        <f>B14*B13/1000000</f>
        <v>815.76675999999998</v>
      </c>
      <c r="C35" s="4" t="s">
        <v>181</v>
      </c>
      <c r="D35" s="143"/>
      <c r="G35" s="438"/>
      <c r="I35" s="148" t="s">
        <v>145</v>
      </c>
      <c r="J35" s="144">
        <f>(J14-J15)*J13/1000000</f>
        <v>1037.7547073304347</v>
      </c>
      <c r="K35" s="4" t="s">
        <v>181</v>
      </c>
      <c r="L35" s="454"/>
      <c r="M35" s="454"/>
      <c r="N35" s="454"/>
      <c r="O35" s="503"/>
      <c r="P35" s="95"/>
      <c r="Q35" s="95"/>
      <c r="R35" s="95"/>
      <c r="S35" s="95"/>
      <c r="T35" s="95"/>
      <c r="U35" s="95"/>
      <c r="V35" s="95"/>
      <c r="W35" s="95"/>
      <c r="X35" s="95"/>
      <c r="Y35" s="95"/>
    </row>
    <row r="36" spans="1:49" s="5" customFormat="1">
      <c r="A36" s="148" t="s">
        <v>146</v>
      </c>
      <c r="B36" s="746">
        <f>-B19/B35</f>
        <v>-0.49915468113635392</v>
      </c>
      <c r="C36" s="254" t="s">
        <v>164</v>
      </c>
      <c r="D36" s="254"/>
      <c r="E36" s="4"/>
      <c r="F36" s="4"/>
      <c r="G36" s="255"/>
      <c r="I36" s="253" t="s">
        <v>146</v>
      </c>
      <c r="J36" s="746">
        <f>(J26-J19)/J35</f>
        <v>1063.4135491911143</v>
      </c>
      <c r="K36" s="254" t="s">
        <v>164</v>
      </c>
      <c r="L36" s="454"/>
      <c r="M36" s="454"/>
      <c r="N36" s="454"/>
      <c r="O36" s="504"/>
      <c r="P36" s="95"/>
      <c r="Q36" s="95"/>
      <c r="R36" s="95"/>
      <c r="S36" s="95"/>
      <c r="T36" s="95"/>
      <c r="U36" s="95"/>
      <c r="V36" s="95"/>
      <c r="W36" s="95"/>
      <c r="X36" s="95"/>
      <c r="Y36" s="95"/>
      <c r="Z36" s="4"/>
      <c r="AA36" s="4"/>
      <c r="AB36" s="4"/>
      <c r="AC36" s="4"/>
      <c r="AD36" s="4"/>
      <c r="AE36" s="4"/>
      <c r="AF36" s="4"/>
      <c r="AG36" s="4"/>
      <c r="AH36" s="4"/>
      <c r="AI36" s="4"/>
      <c r="AJ36" s="4"/>
      <c r="AK36" s="4"/>
      <c r="AL36" s="4"/>
      <c r="AM36" s="4"/>
      <c r="AN36" s="4"/>
      <c r="AO36" s="4"/>
      <c r="AP36" s="4"/>
      <c r="AQ36" s="4"/>
      <c r="AR36" s="4"/>
      <c r="AS36" s="4"/>
      <c r="AT36" s="4"/>
      <c r="AU36" s="4"/>
      <c r="AV36" s="4"/>
      <c r="AW36" s="4"/>
    </row>
    <row r="37" spans="1:49">
      <c r="A37" s="147" t="s">
        <v>207</v>
      </c>
      <c r="B37" s="140"/>
      <c r="C37" s="140"/>
      <c r="D37" s="140"/>
      <c r="E37" s="140"/>
      <c r="F37" s="140"/>
      <c r="G37" s="320"/>
      <c r="H37" s="138"/>
      <c r="I37" s="147" t="s">
        <v>207</v>
      </c>
      <c r="J37" s="140"/>
      <c r="K37" s="140"/>
      <c r="L37" s="140"/>
      <c r="M37" s="140"/>
      <c r="N37" s="140"/>
      <c r="O37" s="320"/>
      <c r="P37" s="95"/>
      <c r="Q37" s="95"/>
      <c r="R37" s="95"/>
      <c r="S37" s="95"/>
      <c r="T37" s="95"/>
      <c r="U37" s="95"/>
      <c r="V37" s="95"/>
      <c r="W37" s="95"/>
      <c r="X37" s="95"/>
      <c r="Y37" s="95"/>
    </row>
    <row r="38" spans="1:49">
      <c r="A38" s="159" t="s">
        <v>543</v>
      </c>
      <c r="B38" s="160"/>
      <c r="C38" s="161"/>
      <c r="D38" s="161"/>
      <c r="E38" s="161"/>
      <c r="F38" s="161"/>
      <c r="G38" s="321"/>
      <c r="I38" s="159" t="s">
        <v>629</v>
      </c>
      <c r="J38" s="160"/>
      <c r="K38" s="161"/>
      <c r="L38" s="161"/>
      <c r="M38" s="161"/>
      <c r="N38" s="161"/>
      <c r="O38" s="321"/>
      <c r="P38" s="95"/>
      <c r="Q38" s="95"/>
      <c r="R38" s="95"/>
      <c r="S38" s="95"/>
      <c r="T38" s="95"/>
      <c r="U38" s="95"/>
      <c r="V38" s="95"/>
      <c r="W38" s="95"/>
      <c r="X38" s="95"/>
      <c r="Y38" s="95"/>
    </row>
    <row r="39" spans="1:49">
      <c r="A39" s="148" t="s">
        <v>620</v>
      </c>
      <c r="B39" s="144"/>
      <c r="C39" s="4"/>
      <c r="D39" s="4"/>
      <c r="E39" s="4"/>
      <c r="F39" s="4"/>
      <c r="G39" s="255"/>
      <c r="I39" s="148" t="s">
        <v>616</v>
      </c>
      <c r="J39" s="144"/>
      <c r="K39" s="4"/>
      <c r="L39" s="4"/>
      <c r="M39" s="4"/>
      <c r="N39" s="4"/>
      <c r="O39" s="255"/>
      <c r="P39" s="95"/>
      <c r="Q39" s="95"/>
      <c r="R39" s="95"/>
      <c r="S39" s="95"/>
      <c r="T39" s="95"/>
      <c r="U39" s="95"/>
      <c r="V39" s="95"/>
      <c r="W39" s="95"/>
      <c r="X39" s="95"/>
      <c r="Y39" s="95"/>
    </row>
    <row r="40" spans="1:49">
      <c r="A40" s="151" t="s">
        <v>717</v>
      </c>
      <c r="B40" s="152"/>
      <c r="C40" s="30"/>
      <c r="D40" s="30"/>
      <c r="E40" s="30"/>
      <c r="F40" s="30"/>
      <c r="G40" s="322"/>
      <c r="I40" s="151" t="s">
        <v>654</v>
      </c>
      <c r="J40" s="152"/>
      <c r="K40" s="30"/>
      <c r="L40" s="30"/>
      <c r="M40" s="30"/>
      <c r="N40" s="30"/>
      <c r="O40" s="322"/>
      <c r="P40" s="95"/>
      <c r="Q40" s="95"/>
      <c r="R40" s="95"/>
      <c r="S40" s="95"/>
      <c r="T40" s="95"/>
      <c r="U40" s="95"/>
      <c r="V40" s="95"/>
      <c r="W40" s="95"/>
      <c r="X40" s="95"/>
      <c r="Y40" s="95"/>
    </row>
    <row r="41" spans="1:49">
      <c r="A41" s="4"/>
      <c r="B41" s="144"/>
      <c r="C41" s="4"/>
      <c r="D41" s="4"/>
      <c r="E41" s="4"/>
      <c r="F41" s="4"/>
      <c r="G41" s="4"/>
      <c r="I41" s="95"/>
      <c r="J41" s="95"/>
      <c r="K41" s="95"/>
      <c r="L41" s="95"/>
      <c r="M41" s="95"/>
      <c r="N41" s="95"/>
      <c r="O41" s="95"/>
      <c r="P41" s="95"/>
      <c r="Q41" s="95"/>
      <c r="R41" s="95"/>
      <c r="S41" s="95"/>
      <c r="T41" s="95"/>
      <c r="U41" s="95"/>
      <c r="V41" s="95"/>
      <c r="W41" s="95"/>
      <c r="X41" s="95"/>
      <c r="Y41" s="95"/>
    </row>
    <row r="45" spans="1:49" s="95" customFormat="1" ht="18.75">
      <c r="A45" s="142" t="s">
        <v>185</v>
      </c>
      <c r="B45" s="225" t="s">
        <v>696</v>
      </c>
      <c r="C45" s="225"/>
    </row>
    <row r="67" spans="1:49">
      <c r="E67" s="5"/>
      <c r="F67" s="5"/>
      <c r="G67" s="5"/>
      <c r="H67" s="5"/>
    </row>
    <row r="68" spans="1:49" s="163" customFormat="1">
      <c r="A68" s="234" t="s">
        <v>635</v>
      </c>
      <c r="B68" s="235" t="s">
        <v>186</v>
      </c>
      <c r="C68" s="236" t="s">
        <v>169</v>
      </c>
      <c r="D68" s="237" t="s">
        <v>586</v>
      </c>
      <c r="E68" s="237" t="s">
        <v>585</v>
      </c>
      <c r="F68" s="229"/>
      <c r="G68" s="229"/>
      <c r="H68" s="229"/>
      <c r="I68" s="162"/>
      <c r="J68" s="162"/>
      <c r="R68" s="572"/>
      <c r="S68" s="572"/>
      <c r="T68" s="572"/>
      <c r="U68" s="572"/>
      <c r="V68" s="572"/>
      <c r="W68" s="572"/>
      <c r="X68" s="572"/>
      <c r="Y68" s="572"/>
      <c r="Z68" s="572"/>
      <c r="AA68" s="572"/>
      <c r="AB68" s="572"/>
      <c r="AC68" s="572"/>
      <c r="AD68" s="572"/>
      <c r="AE68" s="572"/>
      <c r="AF68" s="572"/>
      <c r="AG68" s="572"/>
      <c r="AH68" s="572"/>
      <c r="AI68" s="572"/>
      <c r="AJ68" s="572"/>
      <c r="AK68" s="572"/>
      <c r="AL68" s="572"/>
      <c r="AM68" s="572"/>
      <c r="AN68" s="572"/>
      <c r="AO68" s="572"/>
      <c r="AP68" s="572"/>
      <c r="AQ68" s="572"/>
      <c r="AR68" s="572"/>
      <c r="AS68" s="572"/>
      <c r="AT68" s="572"/>
      <c r="AU68" s="572"/>
      <c r="AV68" s="572"/>
      <c r="AW68" s="572"/>
    </row>
    <row r="69" spans="1:49">
      <c r="A69" s="233" t="s">
        <v>232</v>
      </c>
      <c r="B69" s="545">
        <f>SUM('Nulmeting 2011'!B26:P27)</f>
        <v>15154.350408613054</v>
      </c>
      <c r="C69" s="153">
        <f>SUM(Q149,Q169)</f>
        <v>21629.947175594505</v>
      </c>
      <c r="D69" s="153">
        <f>C69-B35</f>
        <v>20814.180415594506</v>
      </c>
      <c r="E69" s="153">
        <f>C69-J35</f>
        <v>20592.192468264071</v>
      </c>
      <c r="F69" s="144"/>
      <c r="G69" s="144"/>
      <c r="H69" s="144"/>
    </row>
    <row r="70" spans="1:49">
      <c r="A70" s="238" t="s">
        <v>723</v>
      </c>
      <c r="B70" s="154"/>
      <c r="C70" s="155">
        <f>C69/B69-1</f>
        <v>0.42730942550338624</v>
      </c>
      <c r="D70" s="155">
        <f>D69/$C$69-1</f>
        <v>-3.7714690349334057E-2</v>
      </c>
      <c r="E70" s="155">
        <f>E69/$C$69-1</f>
        <v>-4.7977681078266943E-2</v>
      </c>
      <c r="F70" s="143"/>
      <c r="G70" s="143"/>
      <c r="H70" s="143"/>
    </row>
    <row r="71" spans="1:49">
      <c r="A71" s="230" t="s">
        <v>724</v>
      </c>
      <c r="B71" s="231"/>
      <c r="C71" s="231"/>
      <c r="D71" s="232">
        <f>D69/$B$69-1</f>
        <v>0.37347889248784027</v>
      </c>
      <c r="E71" s="232">
        <f>E69/$B$69-1</f>
        <v>0.35883042908658047</v>
      </c>
      <c r="F71" s="143"/>
      <c r="G71" s="143"/>
      <c r="H71" s="143"/>
    </row>
    <row r="72" spans="1:49">
      <c r="A72" s="4"/>
      <c r="B72" s="4"/>
      <c r="C72" s="4"/>
      <c r="D72" s="143"/>
      <c r="E72" s="143"/>
      <c r="F72" s="143"/>
      <c r="G72" s="143"/>
      <c r="H72" s="143"/>
    </row>
    <row r="73" spans="1:49" s="95" customFormat="1" ht="18.75">
      <c r="A73" s="142" t="s">
        <v>663</v>
      </c>
    </row>
    <row r="74" spans="1:49" s="95" customFormat="1" ht="18.75">
      <c r="A74" s="142"/>
    </row>
    <row r="75" spans="1:49">
      <c r="B75" s="135"/>
    </row>
    <row r="76" spans="1:49" s="95" customFormat="1" ht="18.75">
      <c r="A76" s="142" t="s">
        <v>184</v>
      </c>
    </row>
    <row r="77" spans="1:49" s="95" customFormat="1" ht="18.75">
      <c r="A77" s="142"/>
    </row>
    <row r="78" spans="1:49" s="95" customFormat="1">
      <c r="A78" s="139" t="s">
        <v>582</v>
      </c>
      <c r="B78" s="133"/>
      <c r="C78" s="133"/>
      <c r="D78" s="133"/>
      <c r="E78" s="133"/>
      <c r="F78" s="133"/>
      <c r="G78" s="133"/>
      <c r="H78" s="133"/>
      <c r="I78" s="133"/>
      <c r="J78" s="133"/>
      <c r="K78" s="133"/>
      <c r="L78" s="133"/>
      <c r="M78" s="133"/>
      <c r="N78" s="133"/>
      <c r="O78" s="133"/>
      <c r="P78" s="133"/>
      <c r="Q78" s="133"/>
    </row>
    <row r="79" spans="1:49">
      <c r="A79" s="134" t="s">
        <v>578</v>
      </c>
      <c r="B79" s="136" t="s">
        <v>577</v>
      </c>
      <c r="C79" s="136"/>
      <c r="D79" s="137"/>
      <c r="E79" s="134"/>
      <c r="F79" s="157"/>
      <c r="G79" s="134"/>
      <c r="H79" s="134"/>
      <c r="I79" s="134"/>
      <c r="J79" s="134"/>
      <c r="K79" s="134"/>
      <c r="L79" s="134"/>
      <c r="M79" s="134"/>
      <c r="N79" s="134"/>
      <c r="O79" s="134"/>
      <c r="P79" s="134"/>
      <c r="Q79" s="134"/>
      <c r="R79" s="565"/>
      <c r="S79" s="565"/>
      <c r="T79" s="565"/>
      <c r="U79" s="565"/>
      <c r="V79" s="565"/>
      <c r="W79" s="565"/>
      <c r="X79" s="565"/>
      <c r="Y79" s="565"/>
    </row>
    <row r="80" spans="1:49">
      <c r="A80" s="134" t="s">
        <v>579</v>
      </c>
      <c r="B80" s="136" t="s">
        <v>576</v>
      </c>
      <c r="C80" s="156"/>
      <c r="D80" s="156"/>
      <c r="E80" s="134"/>
      <c r="F80" s="134"/>
      <c r="G80" s="134"/>
      <c r="H80" s="134"/>
      <c r="I80" s="134"/>
      <c r="J80" s="134"/>
      <c r="K80" s="134"/>
      <c r="L80" s="134"/>
      <c r="M80" s="134"/>
      <c r="N80" s="134"/>
      <c r="O80" s="134"/>
      <c r="P80" s="134"/>
      <c r="Q80" s="134"/>
      <c r="R80" s="565"/>
      <c r="S80" s="565"/>
      <c r="T80" s="565"/>
      <c r="U80" s="565"/>
      <c r="V80" s="565"/>
      <c r="W80" s="565"/>
      <c r="X80" s="565"/>
      <c r="Y80" s="565"/>
    </row>
    <row r="81" spans="1:25">
      <c r="A81" s="134" t="s">
        <v>580</v>
      </c>
      <c r="B81" s="136" t="s">
        <v>576</v>
      </c>
      <c r="C81" s="134"/>
      <c r="D81" s="134"/>
      <c r="E81" s="134"/>
      <c r="F81" s="134"/>
      <c r="G81" s="134"/>
      <c r="H81" s="134"/>
      <c r="I81" s="134"/>
      <c r="J81" s="134"/>
      <c r="K81" s="134"/>
      <c r="L81" s="134"/>
      <c r="M81" s="134"/>
      <c r="N81" s="134"/>
      <c r="O81" s="134"/>
      <c r="P81" s="134"/>
      <c r="Q81" s="134"/>
      <c r="R81" s="565"/>
      <c r="S81" s="565"/>
      <c r="T81" s="565"/>
      <c r="U81" s="565"/>
      <c r="V81" s="565"/>
      <c r="W81" s="565"/>
      <c r="X81" s="565"/>
      <c r="Y81" s="565"/>
    </row>
    <row r="82" spans="1:25">
      <c r="A82" s="134"/>
      <c r="B82" s="134"/>
      <c r="C82" s="134"/>
      <c r="D82" s="134"/>
      <c r="E82" s="134"/>
      <c r="F82" s="134"/>
      <c r="G82" s="134"/>
      <c r="H82" s="134"/>
      <c r="I82" s="134"/>
      <c r="J82" s="134"/>
      <c r="K82" s="134"/>
      <c r="L82" s="134"/>
      <c r="M82" s="134"/>
      <c r="N82" s="134"/>
      <c r="O82" s="134"/>
      <c r="P82" s="134"/>
      <c r="Q82" s="134"/>
      <c r="R82" s="565"/>
      <c r="S82" s="565"/>
      <c r="T82" s="565"/>
      <c r="U82" s="565"/>
      <c r="V82" s="565"/>
      <c r="W82" s="565"/>
      <c r="X82" s="565"/>
      <c r="Y82" s="565"/>
    </row>
    <row r="85" spans="1:25" s="95" customFormat="1">
      <c r="A85" s="139" t="s">
        <v>581</v>
      </c>
      <c r="B85" s="407" t="s">
        <v>577</v>
      </c>
      <c r="C85" s="133"/>
      <c r="D85" s="133"/>
      <c r="E85" s="133"/>
      <c r="F85" s="133"/>
      <c r="G85" s="133"/>
      <c r="H85" s="133"/>
      <c r="I85" s="133"/>
      <c r="J85" s="133"/>
      <c r="K85" s="133"/>
      <c r="L85" s="133"/>
      <c r="M85" s="133"/>
      <c r="N85" s="133"/>
      <c r="O85" s="133"/>
      <c r="P85" s="133"/>
      <c r="Q85" s="133"/>
    </row>
    <row r="86" spans="1:25" s="95" customFormat="1">
      <c r="A86" s="459" t="s">
        <v>617</v>
      </c>
      <c r="B86" s="458"/>
    </row>
    <row r="87" spans="1:25" s="95" customFormat="1">
      <c r="A87" s="457"/>
      <c r="B87" s="458"/>
    </row>
    <row r="88" spans="1:25">
      <c r="A88" s="508" t="str">
        <f>'data '!A71</f>
        <v>WegType</v>
      </c>
      <c r="B88" s="509" t="str">
        <f>'data '!B71</f>
        <v>VoertuigType</v>
      </c>
      <c r="C88" s="510">
        <f>'data '!C71</f>
        <v>2011</v>
      </c>
      <c r="D88" s="511">
        <f>'data '!D71</f>
        <v>2020</v>
      </c>
    </row>
    <row r="89" spans="1:25">
      <c r="A89" s="512" t="str">
        <f>'data '!A72</f>
        <v>Genummerde wegen</v>
      </c>
      <c r="B89" s="5" t="str">
        <f>'data '!B72</f>
        <v>Lichte vrachtwagens</v>
      </c>
      <c r="C89" s="557">
        <f>'data '!C72</f>
        <v>939120</v>
      </c>
      <c r="D89" s="558">
        <f>'data '!D72</f>
        <v>4016852</v>
      </c>
    </row>
    <row r="90" spans="1:25">
      <c r="A90" s="512" t="str">
        <f>'data '!A73</f>
        <v>Genummerde wegen</v>
      </c>
      <c r="B90" s="5" t="str">
        <f>'data '!B73</f>
        <v>Personenwagens</v>
      </c>
      <c r="C90" s="557">
        <f>'data '!C73</f>
        <v>53002119</v>
      </c>
      <c r="D90" s="558">
        <f>'data '!D73</f>
        <v>95277060</v>
      </c>
    </row>
    <row r="91" spans="1:25">
      <c r="A91" s="512" t="str">
        <f>'data '!A74</f>
        <v>Genummerde wegen</v>
      </c>
      <c r="B91" s="5" t="str">
        <f>'data '!B74</f>
        <v>Zware vrachtwagens</v>
      </c>
      <c r="C91" s="557">
        <f>'data '!C74</f>
        <v>2972427</v>
      </c>
      <c r="D91" s="558">
        <f>'data '!D74</f>
        <v>6215815</v>
      </c>
    </row>
    <row r="92" spans="1:25">
      <c r="A92" s="512" t="str">
        <f>'data '!A75</f>
        <v>Niet-genummerde wegen</v>
      </c>
      <c r="B92" s="5" t="str">
        <f>'data '!B75</f>
        <v>Lichte vrachtwagens</v>
      </c>
      <c r="C92" s="557">
        <f>'data '!C75</f>
        <v>474428</v>
      </c>
      <c r="D92" s="558">
        <f>'data '!D75</f>
        <v>516655</v>
      </c>
    </row>
    <row r="93" spans="1:25">
      <c r="A93" s="512" t="str">
        <f>'data '!A76</f>
        <v>Niet-genummerde wegen</v>
      </c>
      <c r="B93" s="5" t="str">
        <f>'data '!B76</f>
        <v>Personenwagens</v>
      </c>
      <c r="C93" s="557">
        <f>'data '!C76</f>
        <v>22358063</v>
      </c>
      <c r="D93" s="558">
        <f>'data '!D76</f>
        <v>24688640</v>
      </c>
    </row>
    <row r="94" spans="1:25">
      <c r="A94" s="512" t="str">
        <f>'data '!A77</f>
        <v>Niet-genummerde wegen</v>
      </c>
      <c r="B94" s="5" t="str">
        <f>'data '!B77</f>
        <v>Zware vrachtwagens</v>
      </c>
      <c r="C94" s="557">
        <f>'data '!C77</f>
        <v>1027822</v>
      </c>
      <c r="D94" s="558">
        <f>'data '!D77</f>
        <v>1032885</v>
      </c>
    </row>
    <row r="95" spans="1:25">
      <c r="A95" s="512" t="str">
        <f>'data '!A78</f>
        <v>Snelwegen</v>
      </c>
      <c r="B95" s="5" t="str">
        <f>'data '!B78</f>
        <v>Lichte vrachtwagens</v>
      </c>
      <c r="C95" s="557">
        <f>'data '!C78</f>
        <v>0</v>
      </c>
      <c r="D95" s="558">
        <f>'data '!D78</f>
        <v>0</v>
      </c>
    </row>
    <row r="96" spans="1:25">
      <c r="A96" s="512" t="str">
        <f>'data '!A79</f>
        <v>Snelwegen</v>
      </c>
      <c r="B96" s="5" t="str">
        <f>'data '!B79</f>
        <v>Personenwagens</v>
      </c>
      <c r="C96" s="557">
        <f>'data '!C79</f>
        <v>0</v>
      </c>
      <c r="D96" s="558">
        <f>'data '!D79</f>
        <v>0</v>
      </c>
    </row>
    <row r="97" spans="1:17">
      <c r="A97" s="513" t="str">
        <f>'data '!A80</f>
        <v>Snelwegen</v>
      </c>
      <c r="B97" s="16" t="str">
        <f>'data '!B80</f>
        <v>Zware vrachtwagens</v>
      </c>
      <c r="C97" s="559">
        <f>'data '!C80</f>
        <v>0</v>
      </c>
      <c r="D97" s="560">
        <f>'data '!D80</f>
        <v>0</v>
      </c>
    </row>
    <row r="100" spans="1:17" s="95" customFormat="1">
      <c r="A100" s="139" t="s">
        <v>579</v>
      </c>
      <c r="B100" s="407" t="s">
        <v>576</v>
      </c>
      <c r="C100" s="133"/>
      <c r="D100" s="133"/>
      <c r="E100" s="133"/>
      <c r="F100" s="133"/>
      <c r="G100" s="133"/>
      <c r="H100" s="133"/>
      <c r="I100" s="133"/>
      <c r="J100" s="133"/>
      <c r="K100" s="133"/>
      <c r="L100" s="133"/>
      <c r="M100" s="133"/>
      <c r="N100" s="133"/>
      <c r="O100" s="133"/>
      <c r="P100" s="133"/>
      <c r="Q100" s="133"/>
    </row>
    <row r="101" spans="1:17">
      <c r="A101" s="542" t="s">
        <v>682</v>
      </c>
      <c r="C101" s="1"/>
      <c r="D101" s="1"/>
      <c r="E101" s="1"/>
      <c r="F101" s="1"/>
    </row>
    <row r="102" spans="1:17">
      <c r="A102" s="245"/>
    </row>
    <row r="103" spans="1:17">
      <c r="A103" s="516" t="s">
        <v>53</v>
      </c>
      <c r="B103" s="509" t="s">
        <v>54</v>
      </c>
      <c r="C103" s="509" t="s">
        <v>37</v>
      </c>
      <c r="D103" s="509" t="s">
        <v>63</v>
      </c>
      <c r="E103" s="509" t="s">
        <v>64</v>
      </c>
      <c r="F103" s="509" t="s">
        <v>55</v>
      </c>
      <c r="G103" s="509" t="s">
        <v>28</v>
      </c>
      <c r="H103" s="509" t="s">
        <v>56</v>
      </c>
      <c r="I103" s="509" t="s">
        <v>57</v>
      </c>
      <c r="J103" s="511" t="s">
        <v>65</v>
      </c>
    </row>
    <row r="104" spans="1:17">
      <c r="A104" s="148" t="s">
        <v>20</v>
      </c>
      <c r="B104" s="84">
        <v>6.1662207130697587E-3</v>
      </c>
      <c r="C104" s="84">
        <v>0.77433527188600249</v>
      </c>
      <c r="D104" s="84">
        <v>1.7301400939621518E-2</v>
      </c>
      <c r="E104" s="84">
        <v>4.7459609544812358E-3</v>
      </c>
      <c r="F104" s="84">
        <v>6.2488528557618998E-3</v>
      </c>
      <c r="G104" s="84">
        <v>3.4542051765582039E-3</v>
      </c>
      <c r="H104" s="84">
        <v>0.14882204595427459</v>
      </c>
      <c r="I104" s="84">
        <v>3.1479672586745978E-2</v>
      </c>
      <c r="J104" s="514">
        <v>7.446368933484329E-3</v>
      </c>
    </row>
    <row r="105" spans="1:17">
      <c r="A105" s="148" t="s">
        <v>21</v>
      </c>
      <c r="B105" s="84">
        <v>0</v>
      </c>
      <c r="C105" s="84">
        <v>1</v>
      </c>
      <c r="D105" s="84">
        <v>0</v>
      </c>
      <c r="E105" s="84">
        <v>0</v>
      </c>
      <c r="F105" s="84">
        <v>0</v>
      </c>
      <c r="G105" s="84">
        <v>0</v>
      </c>
      <c r="H105" s="84">
        <v>0</v>
      </c>
      <c r="I105" s="84">
        <v>0</v>
      </c>
      <c r="J105" s="514">
        <v>0</v>
      </c>
    </row>
    <row r="106" spans="1:17">
      <c r="A106" s="151" t="s">
        <v>19</v>
      </c>
      <c r="B106" s="86">
        <v>3.3388685843891387E-3</v>
      </c>
      <c r="C106" s="86">
        <v>0.95055261707862071</v>
      </c>
      <c r="D106" s="86">
        <v>2.0775582877216585E-2</v>
      </c>
      <c r="E106" s="86">
        <v>6.1073051566048484E-3</v>
      </c>
      <c r="F106" s="86">
        <v>3.8231553407883974E-6</v>
      </c>
      <c r="G106" s="86">
        <v>5.5937931537683666E-3</v>
      </c>
      <c r="H106" s="86">
        <v>1.3628009994059536E-2</v>
      </c>
      <c r="I106" s="86">
        <v>0</v>
      </c>
      <c r="J106" s="515">
        <v>0</v>
      </c>
    </row>
    <row r="109" spans="1:17" s="95" customFormat="1">
      <c r="A109" s="139" t="s">
        <v>580</v>
      </c>
      <c r="B109" s="407" t="s">
        <v>576</v>
      </c>
      <c r="C109" s="133"/>
      <c r="D109" s="133"/>
      <c r="E109" s="133"/>
      <c r="F109" s="133"/>
      <c r="G109" s="133"/>
      <c r="H109" s="133"/>
      <c r="I109" s="133"/>
      <c r="J109" s="133"/>
      <c r="K109" s="133"/>
      <c r="L109" s="133"/>
      <c r="M109" s="133"/>
      <c r="N109" s="133"/>
      <c r="O109" s="133"/>
      <c r="P109" s="133"/>
      <c r="Q109" s="133"/>
    </row>
    <row r="110" spans="1:17">
      <c r="A110" s="454" t="s">
        <v>618</v>
      </c>
    </row>
    <row r="111" spans="1:17">
      <c r="A111" s="245"/>
    </row>
    <row r="112" spans="1:17">
      <c r="A112" s="528"/>
      <c r="B112" s="517" t="s">
        <v>566</v>
      </c>
      <c r="C112" s="517">
        <v>2020</v>
      </c>
      <c r="D112" s="517" t="s">
        <v>567</v>
      </c>
      <c r="E112" s="518"/>
    </row>
    <row r="113" spans="1:49">
      <c r="A113" s="520" t="s">
        <v>525</v>
      </c>
      <c r="B113" s="401">
        <v>0.87</v>
      </c>
      <c r="C113" s="402"/>
      <c r="D113" s="401">
        <v>4.2696999999999999E-2</v>
      </c>
      <c r="E113" s="519"/>
    </row>
    <row r="114" spans="1:49">
      <c r="A114" s="520" t="s">
        <v>568</v>
      </c>
      <c r="B114" s="401">
        <v>0.88</v>
      </c>
      <c r="C114" s="402"/>
      <c r="D114" s="401">
        <v>3.7699999999999997E-2</v>
      </c>
      <c r="E114" s="519"/>
    </row>
    <row r="115" spans="1:49">
      <c r="A115" s="520" t="s">
        <v>569</v>
      </c>
      <c r="B115" s="403"/>
      <c r="C115" s="400">
        <v>0.06</v>
      </c>
      <c r="D115" s="405"/>
      <c r="E115" s="519"/>
    </row>
    <row r="116" spans="1:49">
      <c r="A116" s="520" t="s">
        <v>570</v>
      </c>
      <c r="B116" s="403"/>
      <c r="C116" s="408">
        <f>(C115*$B114)/((1-C115)*$B113+C115*$B114)</f>
        <v>6.0647829083390767E-2</v>
      </c>
      <c r="D116" s="405"/>
      <c r="E116" s="521"/>
    </row>
    <row r="117" spans="1:49">
      <c r="A117" s="522" t="s">
        <v>571</v>
      </c>
      <c r="B117" s="523"/>
      <c r="C117" s="524">
        <f>1/(1+((1/C116-1)*($D$113/$D$114)))</f>
        <v>5.3932779202313444E-2</v>
      </c>
      <c r="D117" s="525"/>
      <c r="E117" s="526"/>
    </row>
    <row r="118" spans="1:49">
      <c r="A118" s="371"/>
      <c r="B118" s="5"/>
      <c r="C118" s="5"/>
      <c r="D118" s="5"/>
      <c r="E118" s="406"/>
    </row>
    <row r="119" spans="1:49">
      <c r="A119" s="528"/>
      <c r="B119" s="517" t="s">
        <v>566</v>
      </c>
      <c r="C119" s="517">
        <v>2020</v>
      </c>
      <c r="D119" s="517" t="s">
        <v>567</v>
      </c>
      <c r="E119" s="518"/>
    </row>
    <row r="120" spans="1:49">
      <c r="A120" s="520" t="s">
        <v>572</v>
      </c>
      <c r="B120" s="401">
        <v>0.755</v>
      </c>
      <c r="C120" s="402"/>
      <c r="D120" s="401">
        <v>4.3952999999999999E-2</v>
      </c>
      <c r="E120" s="519"/>
    </row>
    <row r="121" spans="1:49">
      <c r="A121" s="520" t="s">
        <v>573</v>
      </c>
      <c r="B121" s="401">
        <v>0.79400000000000004</v>
      </c>
      <c r="C121" s="402"/>
      <c r="D121" s="401">
        <v>2.6800000000000001E-2</v>
      </c>
      <c r="E121" s="519"/>
    </row>
    <row r="122" spans="1:49">
      <c r="A122" s="520" t="s">
        <v>569</v>
      </c>
      <c r="B122" s="403"/>
      <c r="C122" s="400">
        <v>7.0000000000000007E-2</v>
      </c>
      <c r="D122" s="404"/>
      <c r="E122" s="519"/>
    </row>
    <row r="123" spans="1:49">
      <c r="A123" s="520" t="s">
        <v>574</v>
      </c>
      <c r="B123" s="403"/>
      <c r="C123" s="400">
        <f>(C122*$B121)/((1-C122)*$B120+C122*$B121)</f>
        <v>7.3350665804442244E-2</v>
      </c>
      <c r="D123" s="404"/>
      <c r="E123" s="521"/>
    </row>
    <row r="124" spans="1:49">
      <c r="A124" s="522" t="s">
        <v>571</v>
      </c>
      <c r="B124" s="523"/>
      <c r="C124" s="524">
        <f>1/(1+((1/C123-1)*($D$120/$D$121)))</f>
        <v>4.6043010050746937E-2</v>
      </c>
      <c r="D124" s="527"/>
      <c r="E124" s="526"/>
    </row>
    <row r="127" spans="1:49" s="133" customFormat="1">
      <c r="A127" s="139" t="s">
        <v>583</v>
      </c>
      <c r="B127" s="407"/>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row>
    <row r="128" spans="1:49" ht="15.75" thickBot="1"/>
    <row r="129" spans="1:17" ht="17.25" thickTop="1" thickBot="1">
      <c r="A129" s="792" t="s">
        <v>546</v>
      </c>
      <c r="B129" s="793" t="s">
        <v>430</v>
      </c>
      <c r="C129" s="794"/>
      <c r="D129" s="794"/>
      <c r="E129" s="794"/>
      <c r="F129" s="794"/>
      <c r="G129" s="794"/>
      <c r="H129" s="794"/>
      <c r="I129" s="794"/>
      <c r="J129" s="794"/>
      <c r="K129" s="794"/>
      <c r="L129" s="794"/>
      <c r="M129" s="794"/>
      <c r="N129" s="794"/>
      <c r="O129" s="794"/>
      <c r="P129" s="794"/>
      <c r="Q129" s="571"/>
    </row>
    <row r="130" spans="1:17" ht="15.75" thickTop="1">
      <c r="A130" s="792"/>
      <c r="B130" s="795" t="s">
        <v>2</v>
      </c>
      <c r="C130" s="795" t="s">
        <v>31</v>
      </c>
      <c r="D130" s="796" t="s">
        <v>32</v>
      </c>
      <c r="E130" s="797"/>
      <c r="F130" s="797"/>
      <c r="G130" s="797"/>
      <c r="H130" s="797"/>
      <c r="I130" s="797"/>
      <c r="J130" s="797"/>
      <c r="K130" s="798"/>
      <c r="L130" s="796" t="s">
        <v>33</v>
      </c>
      <c r="M130" s="797"/>
      <c r="N130" s="797"/>
      <c r="O130" s="797"/>
      <c r="P130" s="798"/>
      <c r="Q130" s="788" t="s">
        <v>694</v>
      </c>
    </row>
    <row r="131" spans="1:17" ht="45">
      <c r="A131" s="792"/>
      <c r="B131" s="789"/>
      <c r="C131" s="789"/>
      <c r="D131" s="380" t="s">
        <v>34</v>
      </c>
      <c r="E131" s="380" t="s">
        <v>35</v>
      </c>
      <c r="F131" s="380" t="s">
        <v>36</v>
      </c>
      <c r="G131" s="380" t="s">
        <v>37</v>
      </c>
      <c r="H131" s="380" t="s">
        <v>29</v>
      </c>
      <c r="I131" s="380" t="s">
        <v>38</v>
      </c>
      <c r="J131" s="380" t="s">
        <v>39</v>
      </c>
      <c r="K131" s="380" t="s">
        <v>40</v>
      </c>
      <c r="L131" s="380" t="s">
        <v>41</v>
      </c>
      <c r="M131" s="380" t="s">
        <v>42</v>
      </c>
      <c r="N131" s="380" t="s">
        <v>43</v>
      </c>
      <c r="O131" s="380" t="s">
        <v>44</v>
      </c>
      <c r="P131" s="380" t="s">
        <v>45</v>
      </c>
      <c r="Q131" s="789" t="s">
        <v>589</v>
      </c>
    </row>
    <row r="132" spans="1:17">
      <c r="A132" s="381"/>
      <c r="B132" s="381"/>
      <c r="C132" s="381"/>
      <c r="D132" s="381"/>
      <c r="E132" s="381"/>
      <c r="F132" s="381"/>
      <c r="G132" s="381"/>
      <c r="H132" s="381"/>
      <c r="I132" s="381"/>
      <c r="J132" s="381"/>
      <c r="K132" s="381"/>
      <c r="L132" s="381"/>
      <c r="M132" s="381"/>
      <c r="N132" s="381"/>
      <c r="O132" s="381"/>
      <c r="P132" s="381"/>
      <c r="Q132" s="381"/>
    </row>
    <row r="133" spans="1:17">
      <c r="A133" s="382" t="s">
        <v>547</v>
      </c>
      <c r="B133" s="409">
        <f>SUM(B134:B142)</f>
        <v>1.4107337593692636E-3</v>
      </c>
      <c r="C133" s="460" t="s">
        <v>622</v>
      </c>
      <c r="D133" s="409">
        <f t="shared" ref="D133:M133" si="0">SUM(D134:D142)</f>
        <v>1.6900930953814501E-3</v>
      </c>
      <c r="E133" s="409">
        <f t="shared" si="0"/>
        <v>9.2385071942069591E-4</v>
      </c>
      <c r="F133" s="460" t="s">
        <v>622</v>
      </c>
      <c r="G133" s="409">
        <f t="shared" si="0"/>
        <v>0.24253069554918683</v>
      </c>
      <c r="H133" s="409">
        <f t="shared" si="0"/>
        <v>4.225476726292153E-2</v>
      </c>
      <c r="I133" s="460" t="s">
        <v>622</v>
      </c>
      <c r="J133" s="460" t="s">
        <v>622</v>
      </c>
      <c r="K133" s="460" t="s">
        <v>622</v>
      </c>
      <c r="L133" s="460" t="s">
        <v>622</v>
      </c>
      <c r="M133" s="409">
        <f t="shared" si="0"/>
        <v>1.5865469278696052E-2</v>
      </c>
      <c r="N133" s="460" t="s">
        <v>622</v>
      </c>
      <c r="O133" s="460" t="s">
        <v>622</v>
      </c>
      <c r="P133" s="561" t="s">
        <v>622</v>
      </c>
      <c r="Q133" s="562">
        <f>SUM(B133:P133)</f>
        <v>0.30467560966497581</v>
      </c>
    </row>
    <row r="134" spans="1:17">
      <c r="A134" s="384" t="s">
        <v>548</v>
      </c>
      <c r="B134" s="465">
        <f>D89*F106*'ECF transport '!F58+D89*E106*'ECF transport '!F57</f>
        <v>2.3943763637336607E-5</v>
      </c>
      <c r="C134" s="465"/>
      <c r="D134" s="465">
        <f>D89*B106*'ECF transport '!F8</f>
        <v>3.8274013909071018E-5</v>
      </c>
      <c r="E134" s="465">
        <f>D89*G106*'ECF transport '!F35</f>
        <v>4.2235034525300362E-5</v>
      </c>
      <c r="F134" s="465"/>
      <c r="G134" s="465">
        <f>(1-$C$117)*D89*(C106*'ECF transport '!F17+D106*'ECF transport '!F23+'MTRG TRANSPORT'!E106*'ECF transport '!F29)</f>
        <v>7.9627757302324718E-3</v>
      </c>
      <c r="H134" s="465">
        <f>(1-$C$124)*D89*H106*'ECF transport '!F41</f>
        <v>1.5472162199322824E-4</v>
      </c>
      <c r="I134" s="466"/>
      <c r="J134" s="410"/>
      <c r="K134" s="410"/>
      <c r="L134" s="410"/>
      <c r="M134" s="410">
        <f>($C$117)*D89*(C106*'ECF transport '!F17+D106*'ECF transport '!F23+'MTRG TRANSPORT'!E106*'ECF transport '!F29) +($C$124)*D89*H106*'ECF transport '!F41</f>
        <v>4.6140437655479836E-4</v>
      </c>
      <c r="N134" s="410"/>
      <c r="O134" s="410"/>
      <c r="P134" s="411"/>
      <c r="Q134" s="411">
        <f t="shared" ref="Q134:Q143" si="1">SUM(B134:P134)</f>
        <v>8.6833545408522058E-3</v>
      </c>
    </row>
    <row r="135" spans="1:17">
      <c r="A135" s="384" t="s">
        <v>549</v>
      </c>
      <c r="B135" s="465">
        <f>D90*F104*'ECF transport '!F55+D90*E104*'ECF transport '!F54+D90*J104*'ECF transport '!F56</f>
        <v>1.0989461960644569E-3</v>
      </c>
      <c r="C135" s="467"/>
      <c r="D135" s="465">
        <f>D90*B104*'ECF transport '!F5</f>
        <v>1.198872559463967E-3</v>
      </c>
      <c r="E135" s="467">
        <f>D90*G104*'ECF transport '!F32</f>
        <v>6.5459866455869231E-4</v>
      </c>
      <c r="F135" s="467"/>
      <c r="G135" s="465">
        <f>(1-$C$117)*D90*(C104*'ECF transport '!F11+'MTRG TRANSPORT'!D104*'ECF transport '!F20+'MTRG TRANSPORT'!E104*'ECF transport '!F26)</f>
        <v>0.12512442962632361</v>
      </c>
      <c r="H135" s="465">
        <f>(1-$C$124)*D90*(H104*'ECF transport '!F38+'MTRG TRANSPORT'!I104*'ECF transport '!F44+'MTRG TRANSPORT'!J104*'ECF transport '!F47)</f>
        <v>3.1019813236166031E-2</v>
      </c>
      <c r="I135" s="466"/>
      <c r="J135" s="410"/>
      <c r="K135" s="410"/>
      <c r="L135" s="410"/>
      <c r="M135" s="410">
        <f>($C$117)*D90*(C104*'ECF transport '!F11+'MTRG TRANSPORT'!D104*'ECF transport '!F20+'MTRG TRANSPORT'!E104*'ECF transport '!F26)  + ($C$124)*D90*(H104*'ECF transport '!F38+'MTRG TRANSPORT'!I104*'ECF transport '!F44+'MTRG TRANSPORT'!J104*'ECF transport '!F47)</f>
        <v>8.6301916210104641E-3</v>
      </c>
      <c r="N135" s="410"/>
      <c r="O135" s="410"/>
      <c r="P135" s="411"/>
      <c r="Q135" s="411">
        <f t="shared" si="1"/>
        <v>0.16772685190358724</v>
      </c>
    </row>
    <row r="136" spans="1:17">
      <c r="A136" s="384" t="s">
        <v>550</v>
      </c>
      <c r="B136" s="465"/>
      <c r="C136" s="467"/>
      <c r="D136" s="467"/>
      <c r="E136" s="467"/>
      <c r="F136" s="467"/>
      <c r="G136" s="465">
        <f>(1-$C$117)*D91*C105*'ECF transport '!F14</f>
        <v>5.3845477446036745E-2</v>
      </c>
      <c r="H136" s="465"/>
      <c r="I136" s="466"/>
      <c r="J136" s="410"/>
      <c r="K136" s="410"/>
      <c r="L136" s="410"/>
      <c r="M136" s="410">
        <f>($C$117)*D91*C105*'ECF transport '!F14</f>
        <v>3.0695876384890272E-3</v>
      </c>
      <c r="N136" s="410"/>
      <c r="O136" s="410"/>
      <c r="P136" s="411"/>
      <c r="Q136" s="411">
        <f t="shared" si="1"/>
        <v>5.6915065084525769E-2</v>
      </c>
    </row>
    <row r="137" spans="1:17">
      <c r="A137" s="384" t="s">
        <v>551</v>
      </c>
      <c r="B137" s="465">
        <f>D92*F106*'ECF transport '!F63+D92*E106*'ECF transport '!F62</f>
        <v>3.079691559969884E-6</v>
      </c>
      <c r="C137" s="467"/>
      <c r="D137" s="467">
        <f>D92*B106*'ECF transport '!F9</f>
        <v>8.1379651852055309E-6</v>
      </c>
      <c r="E137" s="467">
        <f>D92*G106*'ECF transport '!F36</f>
        <v>7.01191761650828E-6</v>
      </c>
      <c r="F137" s="467"/>
      <c r="G137" s="465">
        <f>(1-$C$117)*D92*(C106*'ECF transport '!F18+'MTRG TRANSPORT'!D106*'ECF transport '!F24+'MTRG TRANSPORT'!E106*'ECF transport '!F30)</f>
        <v>1.498442564968665E-3</v>
      </c>
      <c r="H137" s="465">
        <f>(1-$C$124)*D92*H106*'ECF transport '!F42</f>
        <v>3.2729348736460389E-5</v>
      </c>
      <c r="I137" s="466"/>
      <c r="J137" s="410"/>
      <c r="K137" s="410"/>
      <c r="L137" s="410"/>
      <c r="M137" s="412">
        <f>($C$117)*D92*(C106*'ECF transport '!F18+'MTRG TRANSPORT'!D106*'ECF transport '!F24+'MTRG TRANSPORT'!E106*'ECF transport '!F30) + ($C$124)*D92*H106*'ECF transport '!F42</f>
        <v>8.7001921772633905E-5</v>
      </c>
      <c r="N137" s="410"/>
      <c r="O137" s="410"/>
      <c r="P137" s="411"/>
      <c r="Q137" s="411">
        <f t="shared" si="1"/>
        <v>1.6364034098394428E-3</v>
      </c>
    </row>
    <row r="138" spans="1:17">
      <c r="A138" s="384" t="s">
        <v>552</v>
      </c>
      <c r="B138" s="465">
        <f>D93*F104*'ECF transport '!F60+D93*'MTRG TRANSPORT'!E104*'ECF transport '!F59+D93*'MTRG TRANSPORT'!J104*'ECF transport '!F61</f>
        <v>2.8476410810750029E-4</v>
      </c>
      <c r="C138" s="467"/>
      <c r="D138" s="467">
        <f>D93*B104*'ECF transport '!F6</f>
        <v>4.4480855682320651E-4</v>
      </c>
      <c r="E138" s="467">
        <f>D93*G104*'ECF transport '!F33</f>
        <v>2.2000510272019501E-4</v>
      </c>
      <c r="F138" s="467"/>
      <c r="G138" s="465">
        <f>(1-$C$117)*D93*(C104*'ECF transport '!F12+'MTRG TRANSPORT'!D104*'ECF transport '!F21+'MTRG TRANSPORT'!E104*'ECF transport '!F27)</f>
        <v>4.2493433261715341E-2</v>
      </c>
      <c r="H138" s="465">
        <f>(1-$C$124)*D93*(H104*'ECF transport '!F39+'MTRG TRANSPORT'!I104*'ECF transport '!F45+'MTRG TRANSPORT'!J104*'ECF transport '!F48)</f>
        <v>1.1047503056025809E-2</v>
      </c>
      <c r="I138" s="466"/>
      <c r="J138" s="410"/>
      <c r="K138" s="410"/>
      <c r="L138" s="410"/>
      <c r="M138" s="410">
        <f>($C$117)*D93*(C104*'ECF transport '!F12+'MTRG TRANSPORT'!D104*'ECF transport '!F21+'MTRG TRANSPORT'!E104*'ECF transport '!F27) + ($C$124)*D93*(H104*'ECF transport '!F39+'MTRG TRANSPORT'!I104*'ECF transport '!F45+'MTRG TRANSPORT'!J104*'ECF transport '!F48)</f>
        <v>2.9556486846551624E-3</v>
      </c>
      <c r="N138" s="410"/>
      <c r="O138" s="410"/>
      <c r="P138" s="411"/>
      <c r="Q138" s="411">
        <f t="shared" si="1"/>
        <v>5.7446162770047215E-2</v>
      </c>
    </row>
    <row r="139" spans="1:17">
      <c r="A139" s="384" t="s">
        <v>553</v>
      </c>
      <c r="B139" s="465"/>
      <c r="C139" s="467"/>
      <c r="D139" s="467"/>
      <c r="E139" s="467"/>
      <c r="F139" s="467"/>
      <c r="G139" s="465">
        <f>(1-$C$117)*D94*C105*'ECF transport '!F15</f>
        <v>1.1606136919910002E-2</v>
      </c>
      <c r="H139" s="465"/>
      <c r="I139" s="466"/>
      <c r="J139" s="410"/>
      <c r="K139" s="410"/>
      <c r="L139" s="410"/>
      <c r="M139" s="410">
        <f>($C$117)*D94*C105*'ECF transport '!F15</f>
        <v>6.6163503621396698E-4</v>
      </c>
      <c r="N139" s="410"/>
      <c r="O139" s="410"/>
      <c r="P139" s="411"/>
      <c r="Q139" s="411">
        <f t="shared" si="1"/>
        <v>1.2267771956123968E-2</v>
      </c>
    </row>
    <row r="140" spans="1:17">
      <c r="A140" s="384" t="s">
        <v>554</v>
      </c>
      <c r="B140" s="465">
        <f>D95*F106*'ECF transport '!F53+D95*'MTRG TRANSPORT'!E106*'ECF transport '!F52</f>
        <v>0</v>
      </c>
      <c r="C140" s="467"/>
      <c r="D140" s="467">
        <f>D95*B106*'ECF transport '!F7</f>
        <v>0</v>
      </c>
      <c r="E140" s="467">
        <f>D95*G106*'ECF transport '!F34</f>
        <v>0</v>
      </c>
      <c r="F140" s="467"/>
      <c r="G140" s="465">
        <f>(1-$C$117)*D95*(C106*'ECF transport '!F16+'MTRG TRANSPORT'!D106*'ECF transport '!F22+'MTRG TRANSPORT'!E106*'ECF transport '!F28)</f>
        <v>0</v>
      </c>
      <c r="H140" s="465">
        <f>(1-$C$124)*D95*H106*'ECF transport '!F40</f>
        <v>0</v>
      </c>
      <c r="I140" s="466"/>
      <c r="J140" s="410"/>
      <c r="K140" s="410"/>
      <c r="L140" s="410"/>
      <c r="M140" s="410">
        <f>($C$117)*D95*(C106*'ECF transport '!F16+'MTRG TRANSPORT'!D106*'ECF transport '!F22+'MTRG TRANSPORT'!E106*'ECF transport '!F28)  + ($C$124)*D95*H106*'ECF transport '!F40</f>
        <v>0</v>
      </c>
      <c r="N140" s="410"/>
      <c r="O140" s="410"/>
      <c r="P140" s="411"/>
      <c r="Q140" s="411">
        <f t="shared" si="1"/>
        <v>0</v>
      </c>
    </row>
    <row r="141" spans="1:17">
      <c r="A141" s="384" t="s">
        <v>555</v>
      </c>
      <c r="B141" s="465">
        <f>D96*F104*'ECF transport '!F50+D96*'MTRG TRANSPORT'!E104*'ECF transport '!F49+D96*J104*'ECF transport '!F51</f>
        <v>0</v>
      </c>
      <c r="C141" s="467"/>
      <c r="D141" s="467">
        <f>D96*B104*'ECF transport '!F4</f>
        <v>0</v>
      </c>
      <c r="E141" s="467">
        <f>D96*G104*'ECF transport '!F31</f>
        <v>0</v>
      </c>
      <c r="F141" s="467"/>
      <c r="G141" s="465">
        <f>(1-$C$117)*D96*(C104*'ECF transport '!F10+'MTRG TRANSPORT'!D104*'ECF transport '!F19+'MTRG TRANSPORT'!E104*'ECF transport '!F25)</f>
        <v>0</v>
      </c>
      <c r="H141" s="465">
        <f>(1-$C$124)*D96*(H104*'ECF transport '!F37+'MTRG TRANSPORT'!I104*'ECF transport '!F43+'MTRG TRANSPORT'!J104*'ECF transport '!F46)</f>
        <v>0</v>
      </c>
      <c r="I141" s="466"/>
      <c r="J141" s="410"/>
      <c r="K141" s="410"/>
      <c r="L141" s="410"/>
      <c r="M141" s="410">
        <f>($C$117)*D96*(C104*'ECF transport '!F10+'MTRG TRANSPORT'!D104*'ECF transport '!F19+'MTRG TRANSPORT'!E104*'ECF transport '!F25)  + ($C$124)*D96*(H104*'ECF transport '!F37+'MTRG TRANSPORT'!I104*'ECF transport '!F43+'MTRG TRANSPORT'!J104*'ECF transport '!F46)</f>
        <v>0</v>
      </c>
      <c r="N141" s="410"/>
      <c r="O141" s="410"/>
      <c r="P141" s="411"/>
      <c r="Q141" s="411">
        <f t="shared" si="1"/>
        <v>0</v>
      </c>
    </row>
    <row r="142" spans="1:17">
      <c r="A142" s="385" t="s">
        <v>556</v>
      </c>
      <c r="B142" s="468"/>
      <c r="C142" s="469"/>
      <c r="D142" s="469"/>
      <c r="E142" s="469"/>
      <c r="F142" s="469"/>
      <c r="G142" s="468">
        <f>(1-$C$117)*D97*C105*'ECF transport '!F13</f>
        <v>0</v>
      </c>
      <c r="H142" s="468"/>
      <c r="I142" s="470"/>
      <c r="J142" s="413"/>
      <c r="K142" s="413"/>
      <c r="L142" s="413"/>
      <c r="M142" s="413">
        <f>($C$117)*D97*C105*'ECF transport '!F13</f>
        <v>0</v>
      </c>
      <c r="N142" s="413"/>
      <c r="O142" s="413"/>
      <c r="P142" s="414"/>
      <c r="Q142" s="414">
        <f t="shared" si="1"/>
        <v>0</v>
      </c>
    </row>
    <row r="143" spans="1:17">
      <c r="A143" s="386" t="s">
        <v>557</v>
      </c>
      <c r="B143" s="471"/>
      <c r="C143" s="471"/>
      <c r="D143" s="471"/>
      <c r="E143" s="471"/>
      <c r="F143" s="471"/>
      <c r="G143" s="471"/>
      <c r="H143" s="471"/>
      <c r="I143" s="471"/>
      <c r="J143" s="387"/>
      <c r="K143" s="387"/>
      <c r="L143" s="387"/>
      <c r="M143" s="387"/>
      <c r="N143" s="387"/>
      <c r="O143" s="387"/>
      <c r="P143" s="388"/>
      <c r="Q143" s="388">
        <f t="shared" si="1"/>
        <v>0</v>
      </c>
    </row>
    <row r="144" spans="1:17">
      <c r="A144" s="381"/>
      <c r="B144" s="389"/>
      <c r="C144" s="390"/>
      <c r="D144" s="390"/>
      <c r="E144" s="390"/>
      <c r="F144" s="390"/>
      <c r="G144" s="389"/>
      <c r="H144" s="389"/>
      <c r="I144" s="391"/>
      <c r="J144" s="389"/>
      <c r="K144" s="389"/>
      <c r="L144" s="389"/>
      <c r="M144" s="389"/>
      <c r="N144" s="389"/>
      <c r="O144" s="389"/>
      <c r="P144" s="389"/>
      <c r="Q144" s="381"/>
    </row>
    <row r="145" spans="1:25">
      <c r="A145" s="392" t="s">
        <v>558</v>
      </c>
      <c r="B145" s="393">
        <f>((B133)*10^9/3600)-B143</f>
        <v>391.87048871368432</v>
      </c>
      <c r="C145" s="393"/>
      <c r="D145" s="393">
        <f>((D133)*10^9/3600)-D143</f>
        <v>469.47030427262501</v>
      </c>
      <c r="E145" s="393">
        <f>((E133)*10^9/3600)-E143</f>
        <v>256.6251998390822</v>
      </c>
      <c r="F145" s="393"/>
      <c r="G145" s="393">
        <f>((G133)*10^9/3600)-G143</f>
        <v>67369.637652551901</v>
      </c>
      <c r="H145" s="393">
        <f>((H133)*10^9/3600)-H143</f>
        <v>11737.435350811535</v>
      </c>
      <c r="I145" s="393"/>
      <c r="J145" s="393"/>
      <c r="K145" s="393"/>
      <c r="L145" s="393"/>
      <c r="M145" s="393">
        <f>((M133)*10^9/3600)-M143</f>
        <v>4407.0747996377922</v>
      </c>
      <c r="N145" s="393"/>
      <c r="O145" s="393"/>
      <c r="P145" s="393"/>
      <c r="Q145" s="563" t="s">
        <v>593</v>
      </c>
    </row>
    <row r="146" spans="1:25">
      <c r="A146" s="432" t="s">
        <v>592</v>
      </c>
      <c r="B146" s="433">
        <f>SUM(B135,B138,B141)*10^9/3600</f>
        <v>384.36397338109919</v>
      </c>
      <c r="C146" s="433">
        <f t="shared" ref="C146:Q146" si="2">SUM(C135,C138,C141)*10^9/3600</f>
        <v>0</v>
      </c>
      <c r="D146" s="433">
        <f t="shared" si="2"/>
        <v>456.57808785754827</v>
      </c>
      <c r="E146" s="433">
        <f t="shared" si="2"/>
        <v>242.94549091080205</v>
      </c>
      <c r="F146" s="433">
        <f t="shared" si="2"/>
        <v>0</v>
      </c>
      <c r="G146" s="433">
        <f t="shared" si="2"/>
        <v>46560.517468899714</v>
      </c>
      <c r="H146" s="433">
        <f t="shared" si="2"/>
        <v>11685.365636719956</v>
      </c>
      <c r="I146" s="433">
        <f t="shared" si="2"/>
        <v>0</v>
      </c>
      <c r="J146" s="433">
        <f t="shared" si="2"/>
        <v>0</v>
      </c>
      <c r="K146" s="433">
        <f t="shared" si="2"/>
        <v>0</v>
      </c>
      <c r="L146" s="433">
        <f t="shared" si="2"/>
        <v>0</v>
      </c>
      <c r="M146" s="433">
        <f t="shared" si="2"/>
        <v>3218.2889737960077</v>
      </c>
      <c r="N146" s="433">
        <f t="shared" si="2"/>
        <v>0</v>
      </c>
      <c r="O146" s="433">
        <f t="shared" si="2"/>
        <v>0</v>
      </c>
      <c r="P146" s="433">
        <f t="shared" si="2"/>
        <v>0</v>
      </c>
      <c r="Q146" s="563">
        <f t="shared" si="2"/>
        <v>62548.059631565127</v>
      </c>
    </row>
    <row r="147" spans="1:25">
      <c r="A147" s="395" t="s">
        <v>559</v>
      </c>
      <c r="B147" s="158">
        <f>'Nulmeting 2011'!B16</f>
        <v>0.20531165224649006</v>
      </c>
      <c r="C147" s="158">
        <f>'Nulmeting 2011'!C16</f>
        <v>0</v>
      </c>
      <c r="D147" s="158">
        <f>'Nulmeting 2011'!D16</f>
        <v>0.20200000000000001</v>
      </c>
      <c r="E147" s="158">
        <f>'Nulmeting 2011'!E16</f>
        <v>0.22700000000000001</v>
      </c>
      <c r="F147" s="158">
        <f>'Nulmeting 2011'!F16</f>
        <v>0.26700000000000002</v>
      </c>
      <c r="G147" s="158">
        <f>'Nulmeting 2011'!G16</f>
        <v>0.26700000000000002</v>
      </c>
      <c r="H147" s="158">
        <f>'Nulmeting 2011'!H16</f>
        <v>0.249</v>
      </c>
      <c r="I147" s="158">
        <f>'Nulmeting 2011'!I16</f>
        <v>0.35099999999999998</v>
      </c>
      <c r="J147" s="158">
        <f>'Nulmeting 2011'!J16</f>
        <v>0.35399999999999998</v>
      </c>
      <c r="K147" s="158">
        <f>'Nulmeting 2011'!K16</f>
        <v>0.26400000000000001</v>
      </c>
      <c r="L147" s="158">
        <f>'Nulmeting 2011'!L16</f>
        <v>0</v>
      </c>
      <c r="M147" s="158">
        <f>'Nulmeting 2011'!M16</f>
        <v>0</v>
      </c>
      <c r="N147" s="158">
        <f>'Nulmeting 2011'!N16</f>
        <v>0</v>
      </c>
      <c r="O147" s="158">
        <f>'Nulmeting 2011'!O16</f>
        <v>0</v>
      </c>
      <c r="P147" s="158">
        <f>'Nulmeting 2011'!P16</f>
        <v>0</v>
      </c>
      <c r="Q147" s="564"/>
    </row>
    <row r="148" spans="1:25">
      <c r="A148" s="383"/>
      <c r="B148" s="394"/>
      <c r="C148" s="394"/>
      <c r="D148" s="463"/>
      <c r="E148" s="394"/>
      <c r="F148" s="394"/>
      <c r="G148" s="394"/>
      <c r="H148" s="394"/>
      <c r="I148" s="394"/>
      <c r="J148" s="394"/>
      <c r="K148" s="394"/>
      <c r="L148" s="394"/>
      <c r="M148" s="394"/>
      <c r="N148" s="394"/>
      <c r="O148" s="394"/>
      <c r="P148" s="394"/>
      <c r="Q148" s="563" t="s">
        <v>588</v>
      </c>
    </row>
    <row r="149" spans="1:25">
      <c r="A149" s="392" t="s">
        <v>560</v>
      </c>
      <c r="B149" s="396">
        <f>B145*B147</f>
        <v>80.455577504446069</v>
      </c>
      <c r="C149" s="396"/>
      <c r="D149" s="396">
        <f t="shared" ref="D149:M149" si="3">D145*D147</f>
        <v>94.833001463070261</v>
      </c>
      <c r="E149" s="396">
        <f t="shared" si="3"/>
        <v>58.253920363471664</v>
      </c>
      <c r="F149" s="396"/>
      <c r="G149" s="396">
        <f t="shared" si="3"/>
        <v>17987.693253231359</v>
      </c>
      <c r="H149" s="396">
        <f t="shared" si="3"/>
        <v>2922.621402352072</v>
      </c>
      <c r="I149" s="396"/>
      <c r="J149" s="396"/>
      <c r="K149" s="396"/>
      <c r="L149" s="396"/>
      <c r="M149" s="396">
        <f t="shared" si="3"/>
        <v>0</v>
      </c>
      <c r="N149" s="396"/>
      <c r="O149" s="396"/>
      <c r="P149" s="396"/>
      <c r="Q149" s="563">
        <f>SUM(B149:P149)</f>
        <v>21143.857154914418</v>
      </c>
    </row>
    <row r="150" spans="1:25">
      <c r="A150" s="432" t="s">
        <v>591</v>
      </c>
      <c r="B150" s="433">
        <f>B146*B147</f>
        <v>78.914402438899401</v>
      </c>
      <c r="C150" s="433">
        <f t="shared" ref="C150:P150" si="4">C146*C147</f>
        <v>0</v>
      </c>
      <c r="D150" s="433">
        <f t="shared" si="4"/>
        <v>92.22877374722475</v>
      </c>
      <c r="E150" s="433">
        <f t="shared" si="4"/>
        <v>55.148626436752068</v>
      </c>
      <c r="F150" s="433">
        <f t="shared" si="4"/>
        <v>0</v>
      </c>
      <c r="G150" s="433">
        <f t="shared" si="4"/>
        <v>12431.658164196224</v>
      </c>
      <c r="H150" s="433">
        <f t="shared" si="4"/>
        <v>2909.6560435432693</v>
      </c>
      <c r="I150" s="433">
        <f t="shared" si="4"/>
        <v>0</v>
      </c>
      <c r="J150" s="433">
        <f t="shared" si="4"/>
        <v>0</v>
      </c>
      <c r="K150" s="433">
        <f t="shared" si="4"/>
        <v>0</v>
      </c>
      <c r="L150" s="433">
        <f t="shared" si="4"/>
        <v>0</v>
      </c>
      <c r="M150" s="433">
        <f t="shared" si="4"/>
        <v>0</v>
      </c>
      <c r="N150" s="433">
        <f t="shared" si="4"/>
        <v>0</v>
      </c>
      <c r="O150" s="433">
        <f t="shared" si="4"/>
        <v>0</v>
      </c>
      <c r="P150" s="433">
        <f t="shared" si="4"/>
        <v>0</v>
      </c>
      <c r="Q150" s="563">
        <f>SUM(B150:P150)</f>
        <v>15567.606010362369</v>
      </c>
      <c r="R150" s="435"/>
    </row>
    <row r="151" spans="1:25">
      <c r="A151" s="383"/>
      <c r="B151" s="397"/>
      <c r="C151" s="394"/>
      <c r="D151" s="394"/>
      <c r="E151" s="394"/>
      <c r="F151" s="394"/>
      <c r="G151" s="394"/>
      <c r="H151" s="394"/>
      <c r="I151" s="394"/>
      <c r="J151" s="394"/>
      <c r="K151" s="394"/>
      <c r="L151" s="394"/>
      <c r="M151" s="394"/>
      <c r="N151" s="394"/>
      <c r="O151" s="394"/>
      <c r="P151" s="394"/>
      <c r="Q151" s="381"/>
    </row>
    <row r="152" spans="1:25">
      <c r="A152" s="383"/>
      <c r="B152" s="397"/>
      <c r="C152" s="394"/>
      <c r="D152" s="394"/>
      <c r="E152" s="394"/>
      <c r="F152" s="394"/>
      <c r="G152" s="394"/>
      <c r="H152" s="394"/>
      <c r="I152" s="394"/>
      <c r="J152" s="394"/>
      <c r="K152" s="394"/>
      <c r="L152" s="394"/>
      <c r="M152" s="394"/>
      <c r="N152" s="394"/>
      <c r="O152" s="394"/>
      <c r="P152" s="394"/>
      <c r="Q152" s="381"/>
    </row>
    <row r="153" spans="1:25" s="95" customFormat="1">
      <c r="A153" s="139" t="s">
        <v>695</v>
      </c>
      <c r="B153" s="133"/>
      <c r="C153" s="133"/>
      <c r="D153" s="133"/>
      <c r="E153" s="133"/>
      <c r="F153" s="133"/>
      <c r="G153" s="133"/>
      <c r="H153" s="133"/>
      <c r="I153" s="133"/>
      <c r="J153" s="133"/>
      <c r="K153" s="133"/>
      <c r="L153" s="133"/>
      <c r="M153" s="133"/>
      <c r="N153" s="133"/>
      <c r="O153" s="133"/>
      <c r="P153" s="133"/>
      <c r="Q153" s="133"/>
    </row>
    <row r="154" spans="1:25" s="2" customFormat="1">
      <c r="A154" s="565" t="s">
        <v>584</v>
      </c>
      <c r="B154" s="566"/>
      <c r="C154" s="566"/>
      <c r="D154" s="567"/>
      <c r="E154" s="565"/>
      <c r="F154" s="568"/>
      <c r="G154" s="565"/>
      <c r="H154" s="565"/>
      <c r="I154" s="565"/>
      <c r="J154" s="565"/>
      <c r="K154" s="565"/>
      <c r="L154" s="565"/>
      <c r="M154" s="565"/>
      <c r="N154" s="565"/>
      <c r="O154" s="565"/>
      <c r="P154" s="565"/>
      <c r="Q154" s="565"/>
      <c r="R154" s="565"/>
      <c r="S154" s="565"/>
      <c r="T154" s="565"/>
      <c r="U154" s="565"/>
      <c r="V154" s="565"/>
      <c r="W154" s="565"/>
      <c r="X154" s="565"/>
      <c r="Y154" s="565"/>
    </row>
    <row r="155" spans="1:25" s="2" customFormat="1">
      <c r="A155" s="565" t="s">
        <v>587</v>
      </c>
      <c r="B155" s="569"/>
      <c r="C155" s="569"/>
      <c r="D155" s="569"/>
      <c r="E155" s="565"/>
      <c r="F155" s="565"/>
      <c r="G155" s="565"/>
      <c r="H155" s="565"/>
      <c r="I155" s="565"/>
      <c r="J155" s="565"/>
      <c r="K155" s="565"/>
      <c r="L155" s="565"/>
      <c r="M155" s="565"/>
      <c r="N155" s="565"/>
      <c r="O155" s="565"/>
      <c r="P155" s="565"/>
      <c r="Q155" s="565"/>
      <c r="R155" s="565"/>
      <c r="S155" s="565"/>
      <c r="T155" s="565"/>
      <c r="U155" s="565"/>
      <c r="V155" s="565"/>
      <c r="W155" s="565"/>
      <c r="X155" s="565"/>
      <c r="Y155" s="565"/>
    </row>
    <row r="156" spans="1:25" ht="15.75" thickBot="1">
      <c r="A156" s="399"/>
      <c r="B156" s="399"/>
      <c r="C156" s="399"/>
      <c r="D156" s="399"/>
      <c r="E156" s="399"/>
      <c r="F156" s="399"/>
      <c r="G156" s="399"/>
      <c r="H156" s="399"/>
      <c r="I156" s="399"/>
      <c r="J156" s="399"/>
      <c r="K156" s="399"/>
      <c r="L156" s="399"/>
      <c r="M156" s="5"/>
      <c r="N156" s="5"/>
      <c r="O156" s="5"/>
      <c r="P156" s="5"/>
    </row>
    <row r="157" spans="1:25" ht="17.25" thickTop="1" thickBot="1">
      <c r="A157" s="799" t="s">
        <v>561</v>
      </c>
      <c r="B157" s="800" t="s">
        <v>562</v>
      </c>
      <c r="C157" s="801"/>
      <c r="D157" s="801"/>
      <c r="E157" s="801"/>
      <c r="F157" s="801"/>
      <c r="G157" s="801"/>
      <c r="H157" s="801"/>
      <c r="I157" s="801"/>
      <c r="J157" s="801"/>
      <c r="K157" s="801"/>
      <c r="L157" s="801"/>
      <c r="M157" s="801"/>
      <c r="N157" s="801"/>
      <c r="O157" s="801"/>
      <c r="P157" s="801"/>
      <c r="Q157" s="570"/>
    </row>
    <row r="158" spans="1:25" ht="15.75" customHeight="1" thickTop="1">
      <c r="A158" s="799"/>
      <c r="B158" s="790" t="s">
        <v>2</v>
      </c>
      <c r="C158" s="790" t="s">
        <v>31</v>
      </c>
      <c r="D158" s="802" t="s">
        <v>32</v>
      </c>
      <c r="E158" s="803"/>
      <c r="F158" s="803"/>
      <c r="G158" s="803"/>
      <c r="H158" s="803"/>
      <c r="I158" s="803"/>
      <c r="J158" s="803"/>
      <c r="K158" s="804"/>
      <c r="L158" s="802" t="s">
        <v>33</v>
      </c>
      <c r="M158" s="803"/>
      <c r="N158" s="803"/>
      <c r="O158" s="803"/>
      <c r="P158" s="804"/>
      <c r="Q158" s="790" t="s">
        <v>588</v>
      </c>
    </row>
    <row r="159" spans="1:25" ht="45">
      <c r="A159" s="799"/>
      <c r="B159" s="791"/>
      <c r="C159" s="791"/>
      <c r="D159" s="398" t="s">
        <v>34</v>
      </c>
      <c r="E159" s="398" t="s">
        <v>35</v>
      </c>
      <c r="F159" s="398" t="s">
        <v>36</v>
      </c>
      <c r="G159" s="398" t="s">
        <v>37</v>
      </c>
      <c r="H159" s="398" t="s">
        <v>29</v>
      </c>
      <c r="I159" s="398" t="s">
        <v>38</v>
      </c>
      <c r="J159" s="398" t="s">
        <v>39</v>
      </c>
      <c r="K159" s="398" t="s">
        <v>40</v>
      </c>
      <c r="L159" s="398" t="s">
        <v>41</v>
      </c>
      <c r="M159" s="398" t="s">
        <v>42</v>
      </c>
      <c r="N159" s="398" t="s">
        <v>43</v>
      </c>
      <c r="O159" s="398" t="s">
        <v>44</v>
      </c>
      <c r="P159" s="398" t="s">
        <v>45</v>
      </c>
      <c r="Q159" s="791" t="s">
        <v>588</v>
      </c>
    </row>
    <row r="160" spans="1:25">
      <c r="A160" s="375"/>
      <c r="B160" s="376"/>
      <c r="C160" s="376"/>
      <c r="D160" s="376"/>
      <c r="E160" s="376"/>
      <c r="F160" s="376"/>
      <c r="G160" s="376"/>
      <c r="H160" s="376"/>
      <c r="I160" s="376"/>
      <c r="J160" s="376"/>
      <c r="K160" s="376"/>
      <c r="L160" s="376"/>
      <c r="M160" s="376"/>
      <c r="N160" s="376"/>
      <c r="O160" s="376"/>
      <c r="P160" s="376"/>
    </row>
    <row r="161" spans="1:49" s="418" customFormat="1">
      <c r="A161" s="415" t="s">
        <v>563</v>
      </c>
      <c r="B161" s="416"/>
      <c r="C161" s="416"/>
      <c r="D161" s="416"/>
      <c r="E161" s="416"/>
      <c r="F161" s="416"/>
      <c r="G161" s="416"/>
      <c r="H161" s="416"/>
      <c r="I161" s="416"/>
      <c r="J161" s="416"/>
      <c r="K161" s="416"/>
      <c r="L161" s="416"/>
      <c r="M161" s="416"/>
      <c r="N161" s="416"/>
      <c r="O161" s="416"/>
      <c r="P161" s="417"/>
      <c r="R161" s="574"/>
      <c r="S161" s="574"/>
      <c r="T161" s="574"/>
      <c r="U161" s="574"/>
      <c r="V161" s="574"/>
      <c r="W161" s="574"/>
      <c r="X161" s="574"/>
      <c r="Y161" s="574"/>
      <c r="Z161" s="574"/>
      <c r="AA161" s="574"/>
      <c r="AB161" s="574"/>
      <c r="AC161" s="574"/>
      <c r="AD161" s="574"/>
      <c r="AE161" s="574"/>
      <c r="AF161" s="574"/>
      <c r="AG161" s="574"/>
      <c r="AH161" s="574"/>
      <c r="AI161" s="574"/>
      <c r="AJ161" s="574"/>
      <c r="AK161" s="574"/>
      <c r="AL161" s="574"/>
      <c r="AM161" s="574"/>
      <c r="AN161" s="574"/>
      <c r="AO161" s="574"/>
      <c r="AP161" s="574"/>
      <c r="AQ161" s="574"/>
      <c r="AR161" s="574"/>
      <c r="AS161" s="574"/>
      <c r="AT161" s="574"/>
      <c r="AU161" s="574"/>
      <c r="AV161" s="574"/>
      <c r="AW161" s="574"/>
    </row>
    <row r="162" spans="1:49" s="418" customFormat="1">
      <c r="A162" s="419" t="s">
        <v>68</v>
      </c>
      <c r="B162" s="421"/>
      <c r="C162" s="422"/>
      <c r="D162" s="422"/>
      <c r="E162" s="422"/>
      <c r="F162" s="422"/>
      <c r="G162" s="421"/>
      <c r="H162" s="421"/>
      <c r="I162" s="421"/>
      <c r="J162" s="421"/>
      <c r="K162" s="421"/>
      <c r="L162" s="421"/>
      <c r="M162" s="421"/>
      <c r="N162" s="421"/>
      <c r="O162" s="421"/>
      <c r="P162" s="423"/>
      <c r="R162" s="574"/>
      <c r="S162" s="574"/>
      <c r="T162" s="574"/>
      <c r="U162" s="574"/>
      <c r="V162" s="574"/>
      <c r="W162" s="574"/>
      <c r="X162" s="574"/>
      <c r="Y162" s="574"/>
      <c r="Z162" s="574"/>
      <c r="AA162" s="574"/>
      <c r="AB162" s="574"/>
      <c r="AC162" s="574"/>
      <c r="AD162" s="574"/>
      <c r="AE162" s="574"/>
      <c r="AF162" s="574"/>
      <c r="AG162" s="574"/>
      <c r="AH162" s="574"/>
      <c r="AI162" s="574"/>
      <c r="AJ162" s="574"/>
      <c r="AK162" s="574"/>
      <c r="AL162" s="574"/>
      <c r="AM162" s="574"/>
      <c r="AN162" s="574"/>
      <c r="AO162" s="574"/>
      <c r="AP162" s="574"/>
      <c r="AQ162" s="574"/>
      <c r="AR162" s="574"/>
      <c r="AS162" s="574"/>
      <c r="AT162" s="574"/>
      <c r="AU162" s="574"/>
      <c r="AV162" s="574"/>
      <c r="AW162" s="574"/>
    </row>
    <row r="163" spans="1:49" s="418" customFormat="1">
      <c r="A163" s="420" t="s">
        <v>67</v>
      </c>
      <c r="B163" s="424"/>
      <c r="C163" s="425"/>
      <c r="D163" s="425"/>
      <c r="E163" s="425"/>
      <c r="F163" s="425"/>
      <c r="G163" s="424"/>
      <c r="H163" s="424"/>
      <c r="I163" s="424"/>
      <c r="J163" s="424"/>
      <c r="K163" s="424"/>
      <c r="L163" s="424"/>
      <c r="M163" s="424"/>
      <c r="N163" s="424"/>
      <c r="O163" s="424"/>
      <c r="P163" s="426"/>
      <c r="R163" s="574"/>
      <c r="S163" s="574"/>
      <c r="T163" s="574"/>
      <c r="U163" s="574"/>
      <c r="V163" s="574"/>
      <c r="W163" s="574"/>
      <c r="X163" s="574"/>
      <c r="Y163" s="574"/>
      <c r="Z163" s="574"/>
      <c r="AA163" s="574"/>
      <c r="AB163" s="574"/>
      <c r="AC163" s="574"/>
      <c r="AD163" s="574"/>
      <c r="AE163" s="574"/>
      <c r="AF163" s="574"/>
      <c r="AG163" s="574"/>
      <c r="AH163" s="574"/>
      <c r="AI163" s="574"/>
      <c r="AJ163" s="574"/>
      <c r="AK163" s="574"/>
      <c r="AL163" s="574"/>
      <c r="AM163" s="574"/>
      <c r="AN163" s="574"/>
      <c r="AO163" s="574"/>
      <c r="AP163" s="574"/>
      <c r="AQ163" s="574"/>
      <c r="AR163" s="574"/>
      <c r="AS163" s="574"/>
      <c r="AT163" s="574"/>
      <c r="AU163" s="574"/>
      <c r="AV163" s="574"/>
      <c r="AW163" s="574"/>
    </row>
    <row r="164" spans="1:49">
      <c r="B164" s="1"/>
      <c r="C164" s="372"/>
      <c r="D164" s="372"/>
      <c r="E164" s="372"/>
      <c r="F164" s="372"/>
      <c r="G164" s="1"/>
      <c r="H164" s="1"/>
      <c r="I164" s="245"/>
      <c r="J164" s="1"/>
      <c r="K164" s="1"/>
      <c r="L164" s="1"/>
      <c r="M164" s="1"/>
      <c r="N164" s="1"/>
      <c r="O164" s="1"/>
      <c r="P164" s="1"/>
    </row>
    <row r="165" spans="1:49">
      <c r="A165" s="373" t="s">
        <v>564</v>
      </c>
      <c r="B165" s="374">
        <f>'Nulmeting 2011'!B10</f>
        <v>1414.5300829497046</v>
      </c>
      <c r="C165" s="374">
        <f>'Nulmeting 2011'!C10</f>
        <v>0</v>
      </c>
      <c r="D165" s="374">
        <f>'Nulmeting 2011'!D10</f>
        <v>0</v>
      </c>
      <c r="E165" s="374">
        <f>'Nulmeting 2011'!E10</f>
        <v>0</v>
      </c>
      <c r="F165" s="374">
        <f>'Nulmeting 2011'!F10</f>
        <v>0</v>
      </c>
      <c r="G165" s="374">
        <f>'Nulmeting 2011'!G10</f>
        <v>732.84836028957807</v>
      </c>
      <c r="H165" s="374">
        <f>'Nulmeting 2011'!H10</f>
        <v>0</v>
      </c>
      <c r="I165" s="374">
        <f>'Nulmeting 2011'!I10</f>
        <v>0</v>
      </c>
      <c r="J165" s="374">
        <f>'Nulmeting 2011'!J10</f>
        <v>0</v>
      </c>
      <c r="K165" s="374">
        <f>'Nulmeting 2011'!K10</f>
        <v>0</v>
      </c>
      <c r="L165" s="374">
        <f>'Nulmeting 2011'!L10</f>
        <v>0</v>
      </c>
      <c r="M165" s="374">
        <f>'Nulmeting 2011'!M10</f>
        <v>42.036371485295788</v>
      </c>
      <c r="N165" s="374">
        <f>'Nulmeting 2011'!N10</f>
        <v>0</v>
      </c>
      <c r="O165" s="374">
        <f>'Nulmeting 2011'!O10</f>
        <v>0</v>
      </c>
      <c r="P165" s="374">
        <f>'Nulmeting 2011'!P10</f>
        <v>0</v>
      </c>
      <c r="Q165" s="427"/>
    </row>
    <row r="166" spans="1:49">
      <c r="A166" s="375"/>
      <c r="B166" s="376"/>
      <c r="C166" s="376"/>
      <c r="D166" s="376"/>
      <c r="E166" s="376"/>
      <c r="F166" s="376"/>
      <c r="G166" s="376"/>
      <c r="H166" s="376"/>
      <c r="I166" s="376"/>
      <c r="J166" s="376"/>
      <c r="K166" s="376"/>
      <c r="L166" s="376"/>
      <c r="M166" s="376"/>
      <c r="N166" s="376"/>
      <c r="O166" s="376"/>
      <c r="P166" s="376"/>
    </row>
    <row r="167" spans="1:49">
      <c r="A167" s="3" t="s">
        <v>559</v>
      </c>
      <c r="B167" s="377">
        <f>'Nulmeting 2011'!B16</f>
        <v>0.20531165224649006</v>
      </c>
      <c r="C167" s="377">
        <f>'Nulmeting 2011'!C16</f>
        <v>0</v>
      </c>
      <c r="D167" s="377">
        <f>'Nulmeting 2011'!D16</f>
        <v>0.20200000000000001</v>
      </c>
      <c r="E167" s="377">
        <f>'Nulmeting 2011'!E16</f>
        <v>0.22700000000000001</v>
      </c>
      <c r="F167" s="377">
        <f>'Nulmeting 2011'!F16</f>
        <v>0.26700000000000002</v>
      </c>
      <c r="G167" s="377">
        <f>'Nulmeting 2011'!G16</f>
        <v>0.26700000000000002</v>
      </c>
      <c r="H167" s="377">
        <f>'Nulmeting 2011'!H16</f>
        <v>0.249</v>
      </c>
      <c r="I167" s="377">
        <f>'Nulmeting 2011'!I16</f>
        <v>0.35099999999999998</v>
      </c>
      <c r="J167" s="377">
        <f>'Nulmeting 2011'!J16</f>
        <v>0.35399999999999998</v>
      </c>
      <c r="K167" s="377">
        <f>'Nulmeting 2011'!K16</f>
        <v>0.26400000000000001</v>
      </c>
      <c r="L167" s="377">
        <f>'Nulmeting 2011'!L16</f>
        <v>0</v>
      </c>
      <c r="M167" s="377">
        <f>'Nulmeting 2011'!M16</f>
        <v>0</v>
      </c>
      <c r="N167" s="377">
        <f>'Nulmeting 2011'!N16</f>
        <v>0</v>
      </c>
      <c r="O167" s="377">
        <f>'Nulmeting 2011'!O16</f>
        <v>0</v>
      </c>
      <c r="P167" s="377">
        <f>'Nulmeting 2011'!P16</f>
        <v>0</v>
      </c>
    </row>
    <row r="168" spans="1:49" ht="15.75" thickBot="1">
      <c r="A168" s="379"/>
      <c r="B168" s="379"/>
    </row>
    <row r="169" spans="1:49" ht="15.75" thickBot="1">
      <c r="A169" s="373" t="s">
        <v>565</v>
      </c>
      <c r="B169" s="378">
        <f>B165*B167</f>
        <v>290.41950848276849</v>
      </c>
      <c r="C169" s="378">
        <f>C165*C167</f>
        <v>0</v>
      </c>
      <c r="D169" s="378">
        <f t="shared" ref="D169:P169" si="5">D165*D167</f>
        <v>0</v>
      </c>
      <c r="E169" s="378">
        <f t="shared" si="5"/>
        <v>0</v>
      </c>
      <c r="F169" s="378">
        <f t="shared" si="5"/>
        <v>0</v>
      </c>
      <c r="G169" s="378">
        <f t="shared" si="5"/>
        <v>195.67051219731735</v>
      </c>
      <c r="H169" s="378">
        <f t="shared" si="5"/>
        <v>0</v>
      </c>
      <c r="I169" s="378">
        <f t="shared" si="5"/>
        <v>0</v>
      </c>
      <c r="J169" s="378">
        <f t="shared" si="5"/>
        <v>0</v>
      </c>
      <c r="K169" s="378">
        <f t="shared" si="5"/>
        <v>0</v>
      </c>
      <c r="L169" s="378">
        <f t="shared" si="5"/>
        <v>0</v>
      </c>
      <c r="M169" s="378">
        <f t="shared" si="5"/>
        <v>0</v>
      </c>
      <c r="N169" s="378">
        <f t="shared" si="5"/>
        <v>0</v>
      </c>
      <c r="O169" s="378">
        <f t="shared" si="5"/>
        <v>0</v>
      </c>
      <c r="P169" s="428">
        <f t="shared" si="5"/>
        <v>0</v>
      </c>
      <c r="Q169" s="429">
        <f>SUM(B169:P169)</f>
        <v>486.09002068008584</v>
      </c>
    </row>
    <row r="170" spans="1:49">
      <c r="A170" s="379"/>
      <c r="B170" s="379"/>
    </row>
    <row r="171" spans="1:49">
      <c r="A171" s="379"/>
      <c r="B171" s="379"/>
    </row>
  </sheetData>
  <mergeCells count="14">
    <mergeCell ref="Q130:Q131"/>
    <mergeCell ref="Q158:Q159"/>
    <mergeCell ref="A129:A131"/>
    <mergeCell ref="B129:P129"/>
    <mergeCell ref="B130:B131"/>
    <mergeCell ref="C130:C131"/>
    <mergeCell ref="D130:K130"/>
    <mergeCell ref="L130:P130"/>
    <mergeCell ref="A157:A159"/>
    <mergeCell ref="B157:P157"/>
    <mergeCell ref="B158:B159"/>
    <mergeCell ref="C158:C159"/>
    <mergeCell ref="D158:K158"/>
    <mergeCell ref="L158:P158"/>
  </mergeCells>
  <dataValidations count="1">
    <dataValidation type="list" allowBlank="1" showInputMessage="1" showErrorMessage="1" sqref="B130:D131 B158:D159">
      <formula1>#REF!</formula1>
    </dataValidation>
  </dataValidations>
  <pageMargins left="0.7" right="0.7" top="0.75" bottom="0.75" header="0.3" footer="0.3"/>
  <pageSetup paperSize="9" orientation="portrait" r:id="rId1"/>
  <ignoredErrors>
    <ignoredError sqref="C36:D36" evalError="1"/>
  </ignoredErrors>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9"/>
    <outlinePr summaryBelow="0"/>
  </sheetPr>
  <dimension ref="A1:Y146"/>
  <sheetViews>
    <sheetView showGridLines="0" zoomScale="90" zoomScaleNormal="90" workbookViewId="0">
      <selection activeCell="A6" sqref="A6"/>
    </sheetView>
  </sheetViews>
  <sheetFormatPr defaultColWidth="9.140625" defaultRowHeight="15"/>
  <cols>
    <col min="1" max="1" width="68.140625" style="590" customWidth="1"/>
    <col min="2" max="2" width="29.28515625" style="590" customWidth="1"/>
    <col min="3" max="3" width="13.28515625" style="590" customWidth="1"/>
    <col min="4" max="6" width="16.42578125" style="590" customWidth="1"/>
    <col min="7" max="7" width="43.42578125" style="590" customWidth="1"/>
    <col min="8" max="8" width="16.85546875" style="590" customWidth="1"/>
    <col min="9" max="10" width="51.42578125" style="590" bestFit="1" customWidth="1"/>
    <col min="11" max="11" width="24.5703125" style="590" customWidth="1"/>
    <col min="12" max="12" width="13.28515625" style="590" customWidth="1"/>
    <col min="13" max="13" width="16.28515625" style="590" customWidth="1"/>
    <col min="14" max="14" width="13.140625" style="590" customWidth="1"/>
    <col min="15" max="15" width="31.28515625" style="590" customWidth="1"/>
    <col min="16" max="16" width="13.28515625" style="590" customWidth="1"/>
    <col min="17" max="17" width="51.42578125" style="590" bestFit="1" customWidth="1"/>
    <col min="18" max="18" width="51.42578125" style="647" bestFit="1" customWidth="1"/>
    <col min="19" max="19" width="11.85546875" style="647" bestFit="1" customWidth="1"/>
    <col min="20" max="21" width="9.140625" style="647"/>
    <col min="22" max="22" width="24" style="647" customWidth="1"/>
    <col min="23" max="23" width="30.7109375" style="647" customWidth="1"/>
    <col min="24" max="25" width="9.140625" style="647"/>
    <col min="26" max="16384" width="9.140625" style="590"/>
  </cols>
  <sheetData>
    <row r="1" spans="1:25" s="585" customFormat="1" ht="18.75">
      <c r="A1" s="584" t="s">
        <v>171</v>
      </c>
    </row>
    <row r="2" spans="1:25" s="585" customFormat="1">
      <c r="A2" s="586" t="s">
        <v>292</v>
      </c>
    </row>
    <row r="3" spans="1:25">
      <c r="I3" s="585"/>
      <c r="J3" s="585"/>
      <c r="K3" s="585"/>
      <c r="L3" s="585"/>
      <c r="M3" s="585"/>
      <c r="N3" s="585"/>
      <c r="O3" s="585"/>
      <c r="P3" s="585"/>
      <c r="Q3" s="585"/>
      <c r="R3" s="585"/>
      <c r="S3" s="585"/>
      <c r="T3" s="585"/>
      <c r="U3" s="585"/>
      <c r="V3" s="585"/>
      <c r="W3" s="585"/>
      <c r="X3" s="585"/>
      <c r="Y3" s="585"/>
    </row>
    <row r="4" spans="1:25" ht="18.75">
      <c r="A4" s="587" t="s">
        <v>297</v>
      </c>
      <c r="B4" s="588"/>
      <c r="C4" s="588"/>
      <c r="D4" s="588"/>
      <c r="E4" s="588"/>
      <c r="F4" s="588"/>
      <c r="G4" s="589"/>
      <c r="I4" s="585"/>
      <c r="J4" s="585"/>
      <c r="K4" s="585"/>
      <c r="L4" s="585"/>
      <c r="M4" s="585"/>
      <c r="N4" s="585"/>
      <c r="O4" s="585"/>
      <c r="P4" s="585"/>
      <c r="Q4" s="585"/>
      <c r="R4" s="585"/>
      <c r="S4" s="585"/>
      <c r="T4" s="585"/>
      <c r="U4" s="585"/>
      <c r="V4" s="585"/>
      <c r="W4" s="585"/>
      <c r="X4" s="585"/>
      <c r="Y4" s="585"/>
    </row>
    <row r="5" spans="1:25">
      <c r="A5" s="591" t="s">
        <v>172</v>
      </c>
      <c r="B5" s="592"/>
      <c r="C5" s="592"/>
      <c r="D5" s="592"/>
      <c r="E5" s="592"/>
      <c r="F5" s="592"/>
      <c r="G5" s="720"/>
      <c r="I5" s="585"/>
      <c r="J5" s="585"/>
      <c r="K5" s="585"/>
      <c r="L5" s="585"/>
      <c r="M5" s="585"/>
      <c r="N5" s="585"/>
      <c r="O5" s="585"/>
      <c r="P5" s="585"/>
      <c r="Q5" s="585"/>
      <c r="R5" s="585"/>
      <c r="S5" s="585"/>
      <c r="T5" s="585"/>
      <c r="U5" s="585"/>
      <c r="V5" s="585"/>
      <c r="W5" s="585"/>
      <c r="X5" s="585"/>
      <c r="Y5" s="585"/>
    </row>
    <row r="6" spans="1:25">
      <c r="A6" s="594" t="s">
        <v>294</v>
      </c>
      <c r="B6" s="595">
        <v>0.2</v>
      </c>
      <c r="C6" s="596" t="s">
        <v>293</v>
      </c>
      <c r="D6" s="596"/>
      <c r="E6" s="596"/>
      <c r="F6" s="597"/>
      <c r="G6" s="614"/>
      <c r="I6" s="585"/>
      <c r="J6" s="585"/>
      <c r="K6" s="585"/>
      <c r="L6" s="585"/>
      <c r="M6" s="585"/>
      <c r="N6" s="585"/>
      <c r="O6" s="585"/>
      <c r="P6" s="585"/>
      <c r="Q6" s="585"/>
      <c r="R6" s="585"/>
      <c r="S6" s="585"/>
      <c r="T6" s="585"/>
      <c r="U6" s="585"/>
      <c r="V6" s="585"/>
      <c r="W6" s="585"/>
      <c r="X6" s="585"/>
      <c r="Y6" s="585"/>
    </row>
    <row r="7" spans="1:25">
      <c r="A7" s="594"/>
      <c r="B7" s="721">
        <f>B6*$D$108</f>
        <v>2155.2000000000003</v>
      </c>
      <c r="C7" s="596" t="s">
        <v>137</v>
      </c>
      <c r="D7" s="596"/>
      <c r="E7" s="596"/>
      <c r="F7" s="596"/>
      <c r="G7" s="614"/>
      <c r="I7" s="585"/>
      <c r="J7" s="585"/>
      <c r="K7" s="585"/>
      <c r="L7" s="585"/>
      <c r="M7" s="585"/>
      <c r="N7" s="585"/>
      <c r="O7" s="585"/>
      <c r="P7" s="585"/>
      <c r="Q7" s="585"/>
      <c r="R7" s="585"/>
      <c r="S7" s="585"/>
      <c r="T7" s="585"/>
      <c r="U7" s="585"/>
      <c r="V7" s="585"/>
      <c r="W7" s="585"/>
      <c r="X7" s="585"/>
      <c r="Y7" s="585"/>
    </row>
    <row r="8" spans="1:25">
      <c r="A8" s="600" t="s">
        <v>133</v>
      </c>
      <c r="B8" s="722">
        <f>B22/B9</f>
        <v>7.5812329411764717E-2</v>
      </c>
      <c r="C8" s="602" t="s">
        <v>725</v>
      </c>
      <c r="D8" s="602"/>
      <c r="E8" s="602"/>
      <c r="F8" s="602"/>
      <c r="G8" s="614"/>
      <c r="I8" s="585"/>
      <c r="J8" s="585"/>
      <c r="K8" s="585"/>
      <c r="L8" s="585"/>
      <c r="M8" s="585"/>
      <c r="N8" s="585"/>
      <c r="O8" s="585"/>
      <c r="P8" s="585"/>
      <c r="Q8" s="585"/>
      <c r="R8" s="585"/>
      <c r="S8" s="585"/>
      <c r="T8" s="585"/>
      <c r="U8" s="585"/>
      <c r="V8" s="585"/>
      <c r="W8" s="585"/>
      <c r="X8" s="585"/>
      <c r="Y8" s="585"/>
    </row>
    <row r="9" spans="1:25">
      <c r="A9" s="600"/>
      <c r="B9" s="723">
        <f>127500</f>
        <v>127500</v>
      </c>
      <c r="C9" s="602" t="s">
        <v>518</v>
      </c>
      <c r="D9" s="602"/>
      <c r="E9" s="602"/>
      <c r="F9" s="602"/>
      <c r="G9" s="614" t="s">
        <v>515</v>
      </c>
      <c r="I9" s="585"/>
      <c r="J9" s="585"/>
      <c r="K9" s="585"/>
      <c r="L9" s="585"/>
      <c r="M9" s="585"/>
      <c r="N9" s="585"/>
      <c r="O9" s="585"/>
      <c r="P9" s="585"/>
      <c r="Q9" s="585"/>
      <c r="R9" s="585"/>
      <c r="S9" s="585"/>
      <c r="T9" s="585"/>
      <c r="U9" s="585"/>
      <c r="V9" s="585"/>
      <c r="W9" s="585"/>
      <c r="X9" s="585"/>
      <c r="Y9" s="585"/>
    </row>
    <row r="10" spans="1:25">
      <c r="A10" s="591" t="s">
        <v>175</v>
      </c>
      <c r="B10" s="592"/>
      <c r="C10" s="592"/>
      <c r="D10" s="592"/>
      <c r="E10" s="592"/>
      <c r="F10" s="592"/>
      <c r="G10" s="720"/>
      <c r="I10" s="585"/>
      <c r="J10" s="585"/>
      <c r="K10" s="585"/>
      <c r="L10" s="585"/>
      <c r="M10" s="585"/>
      <c r="N10" s="585"/>
      <c r="O10" s="585"/>
      <c r="P10" s="585"/>
      <c r="Q10" s="585"/>
      <c r="R10" s="585"/>
      <c r="S10" s="585"/>
      <c r="T10" s="585"/>
      <c r="U10" s="585"/>
      <c r="V10" s="585"/>
      <c r="W10" s="585"/>
      <c r="X10" s="585"/>
      <c r="Y10" s="585"/>
    </row>
    <row r="11" spans="1:25">
      <c r="A11" s="594" t="s">
        <v>173</v>
      </c>
      <c r="B11" s="596"/>
      <c r="C11" s="596"/>
      <c r="D11" s="596"/>
      <c r="E11" s="596"/>
      <c r="F11" s="596"/>
      <c r="G11" s="614"/>
      <c r="I11" s="585"/>
      <c r="J11" s="585"/>
      <c r="K11" s="585"/>
      <c r="L11" s="585"/>
      <c r="M11" s="585"/>
      <c r="N11" s="585"/>
      <c r="O11" s="585"/>
      <c r="P11" s="585"/>
      <c r="Q11" s="585"/>
      <c r="R11" s="585"/>
      <c r="S11" s="585"/>
      <c r="T11" s="585"/>
      <c r="U11" s="585"/>
      <c r="V11" s="585"/>
      <c r="W11" s="585"/>
      <c r="X11" s="585"/>
      <c r="Y11" s="585"/>
    </row>
    <row r="12" spans="1:25">
      <c r="A12" s="594"/>
      <c r="B12" s="596"/>
      <c r="C12" s="596"/>
      <c r="D12" s="596"/>
      <c r="E12" s="596"/>
      <c r="F12" s="596"/>
      <c r="G12" s="614"/>
      <c r="I12" s="585"/>
      <c r="J12" s="585"/>
      <c r="K12" s="585"/>
      <c r="L12" s="585"/>
      <c r="M12" s="585"/>
      <c r="N12" s="585"/>
      <c r="O12" s="585"/>
      <c r="P12" s="585"/>
      <c r="Q12" s="585"/>
      <c r="R12" s="585"/>
      <c r="S12" s="585"/>
      <c r="T12" s="585"/>
      <c r="U12" s="585"/>
      <c r="V12" s="585"/>
      <c r="W12" s="585"/>
      <c r="X12" s="585"/>
      <c r="Y12" s="585"/>
    </row>
    <row r="13" spans="1:25" ht="15" customHeight="1">
      <c r="A13" s="594" t="s">
        <v>298</v>
      </c>
      <c r="B13" s="596">
        <v>5</v>
      </c>
      <c r="C13" s="596" t="s">
        <v>295</v>
      </c>
      <c r="D13" s="596"/>
      <c r="E13" s="596"/>
      <c r="F13" s="596"/>
      <c r="G13" s="724" t="s">
        <v>350</v>
      </c>
      <c r="I13" s="585"/>
      <c r="J13" s="585"/>
      <c r="K13" s="585"/>
      <c r="L13" s="585"/>
      <c r="M13" s="585"/>
      <c r="N13" s="585"/>
      <c r="O13" s="585"/>
      <c r="P13" s="585"/>
      <c r="Q13" s="585"/>
      <c r="R13" s="585"/>
      <c r="S13" s="585"/>
      <c r="T13" s="585"/>
      <c r="U13" s="585"/>
      <c r="V13" s="585"/>
      <c r="W13" s="585"/>
      <c r="X13" s="585"/>
      <c r="Y13" s="585"/>
    </row>
    <row r="14" spans="1:25">
      <c r="A14" s="594" t="s">
        <v>299</v>
      </c>
      <c r="B14" s="596">
        <v>897</v>
      </c>
      <c r="C14" s="596" t="s">
        <v>296</v>
      </c>
      <c r="D14" s="596"/>
      <c r="E14" s="596"/>
      <c r="F14" s="596"/>
      <c r="G14" s="724" t="s">
        <v>351</v>
      </c>
      <c r="I14" s="585"/>
      <c r="J14" s="585"/>
      <c r="K14" s="585"/>
      <c r="L14" s="585"/>
      <c r="M14" s="585"/>
      <c r="N14" s="585"/>
      <c r="O14" s="585"/>
      <c r="P14" s="585"/>
      <c r="Q14" s="585"/>
      <c r="R14" s="585"/>
      <c r="S14" s="585"/>
      <c r="T14" s="585"/>
      <c r="U14" s="585"/>
      <c r="V14" s="585"/>
      <c r="W14" s="585"/>
      <c r="X14" s="585"/>
      <c r="Y14" s="585"/>
    </row>
    <row r="15" spans="1:25" s="607" customFormat="1">
      <c r="A15" s="594" t="s">
        <v>167</v>
      </c>
      <c r="B15" s="606">
        <v>15</v>
      </c>
      <c r="C15" s="596" t="s">
        <v>168</v>
      </c>
      <c r="D15" s="596"/>
      <c r="E15" s="596"/>
      <c r="F15" s="596"/>
      <c r="G15" s="724" t="s">
        <v>351</v>
      </c>
      <c r="I15" s="585"/>
      <c r="J15" s="585"/>
      <c r="K15" s="585"/>
      <c r="L15" s="585"/>
      <c r="M15" s="585"/>
      <c r="N15" s="585"/>
      <c r="O15" s="585"/>
      <c r="P15" s="585"/>
      <c r="Q15" s="585"/>
      <c r="R15" s="585"/>
      <c r="S15" s="585"/>
      <c r="T15" s="585"/>
      <c r="U15" s="585"/>
      <c r="V15" s="585"/>
      <c r="W15" s="585"/>
      <c r="X15" s="585"/>
      <c r="Y15" s="585"/>
    </row>
    <row r="16" spans="1:25">
      <c r="A16" s="594" t="s">
        <v>305</v>
      </c>
      <c r="B16" s="606">
        <f>(1960/(1+0.06))*B13</f>
        <v>9245.2830188679236</v>
      </c>
      <c r="C16" s="596" t="s">
        <v>372</v>
      </c>
      <c r="D16" s="596"/>
      <c r="E16" s="596"/>
      <c r="F16" s="596"/>
      <c r="G16" s="724" t="s">
        <v>352</v>
      </c>
      <c r="I16" s="585"/>
      <c r="J16" s="585"/>
      <c r="K16" s="585"/>
      <c r="L16" s="585"/>
      <c r="M16" s="585"/>
      <c r="N16" s="585"/>
      <c r="O16" s="585"/>
      <c r="P16" s="585"/>
      <c r="Q16" s="585"/>
      <c r="R16" s="585"/>
      <c r="S16" s="585"/>
      <c r="T16" s="585"/>
      <c r="U16" s="585"/>
      <c r="V16" s="585"/>
      <c r="W16" s="585"/>
      <c r="X16" s="585"/>
      <c r="Y16" s="585"/>
    </row>
    <row r="17" spans="1:25">
      <c r="A17" s="594" t="s">
        <v>300</v>
      </c>
      <c r="B17" s="606">
        <f>B14*B13</f>
        <v>4485</v>
      </c>
      <c r="C17" s="596" t="s">
        <v>334</v>
      </c>
      <c r="D17" s="596"/>
      <c r="E17" s="596"/>
      <c r="F17" s="596"/>
      <c r="G17" s="725"/>
      <c r="I17" s="585"/>
      <c r="J17" s="585"/>
      <c r="K17" s="585"/>
      <c r="L17" s="585"/>
      <c r="M17" s="585"/>
      <c r="N17" s="585"/>
      <c r="O17" s="585"/>
      <c r="P17" s="585"/>
      <c r="Q17" s="585"/>
      <c r="R17" s="585"/>
      <c r="S17" s="585"/>
      <c r="T17" s="585"/>
      <c r="U17" s="585"/>
      <c r="V17" s="585"/>
      <c r="W17" s="585"/>
      <c r="X17" s="585"/>
      <c r="Y17" s="585"/>
    </row>
    <row r="18" spans="1:25">
      <c r="A18" s="594" t="s">
        <v>301</v>
      </c>
      <c r="B18" s="606">
        <f>B17*$B$65</f>
        <v>741.32231404958679</v>
      </c>
      <c r="C18" s="596" t="s">
        <v>443</v>
      </c>
      <c r="D18" s="596"/>
      <c r="E18" s="596"/>
      <c r="F18" s="596"/>
      <c r="G18" s="725"/>
      <c r="I18" s="585"/>
      <c r="J18" s="585"/>
      <c r="K18" s="585"/>
      <c r="L18" s="585"/>
      <c r="M18" s="585"/>
      <c r="N18" s="585"/>
      <c r="O18" s="585"/>
      <c r="P18" s="585"/>
      <c r="Q18" s="585"/>
      <c r="R18" s="585"/>
      <c r="S18" s="585"/>
      <c r="T18" s="585"/>
      <c r="U18" s="585"/>
      <c r="V18" s="585"/>
      <c r="W18" s="585"/>
      <c r="X18" s="585"/>
      <c r="Y18" s="585"/>
    </row>
    <row r="19" spans="1:25">
      <c r="A19" s="594" t="s">
        <v>302</v>
      </c>
      <c r="B19" s="609">
        <f>B17*$B$62/1000</f>
        <v>0.92082276032550792</v>
      </c>
      <c r="C19" s="596" t="s">
        <v>303</v>
      </c>
      <c r="D19" s="596"/>
      <c r="E19" s="596"/>
      <c r="F19" s="596"/>
      <c r="G19" s="614"/>
      <c r="H19" s="610"/>
      <c r="I19" s="585"/>
      <c r="J19" s="585"/>
      <c r="K19" s="585"/>
      <c r="L19" s="585"/>
      <c r="M19" s="585"/>
      <c r="N19" s="585"/>
      <c r="O19" s="585"/>
      <c r="P19" s="585"/>
      <c r="Q19" s="585"/>
      <c r="R19" s="585"/>
      <c r="S19" s="585"/>
      <c r="T19" s="585"/>
      <c r="U19" s="585"/>
      <c r="V19" s="585"/>
      <c r="W19" s="585"/>
      <c r="X19" s="585"/>
      <c r="Y19" s="585"/>
    </row>
    <row r="20" spans="1:25" s="615" customFormat="1">
      <c r="A20" s="611" t="s">
        <v>146</v>
      </c>
      <c r="B20" s="612">
        <f>(-PMT($B$63,B15,B16)-B18)/B19</f>
        <v>97.96523043867721</v>
      </c>
      <c r="C20" s="613" t="s">
        <v>164</v>
      </c>
      <c r="D20" s="613"/>
      <c r="E20" s="613"/>
      <c r="F20" s="613"/>
      <c r="G20" s="614"/>
      <c r="I20" s="585"/>
      <c r="J20" s="585"/>
      <c r="K20" s="585"/>
      <c r="L20" s="585"/>
      <c r="M20" s="585"/>
      <c r="N20" s="585"/>
      <c r="O20" s="585"/>
      <c r="P20" s="585"/>
      <c r="Q20" s="585"/>
      <c r="R20" s="585"/>
      <c r="S20" s="585"/>
      <c r="T20" s="585"/>
      <c r="U20" s="585"/>
      <c r="V20" s="585"/>
      <c r="W20" s="585"/>
      <c r="X20" s="585"/>
      <c r="Y20" s="585"/>
    </row>
    <row r="21" spans="1:25">
      <c r="A21" s="591" t="s">
        <v>180</v>
      </c>
      <c r="B21" s="592"/>
      <c r="C21" s="592"/>
      <c r="D21" s="592"/>
      <c r="E21" s="592"/>
      <c r="F21" s="592"/>
      <c r="G21" s="720"/>
      <c r="H21" s="610"/>
      <c r="I21" s="585"/>
      <c r="J21" s="585"/>
      <c r="K21" s="585"/>
      <c r="L21" s="585"/>
      <c r="M21" s="585"/>
      <c r="N21" s="585"/>
      <c r="O21" s="585"/>
      <c r="P21" s="585"/>
      <c r="Q21" s="585"/>
      <c r="R21" s="585"/>
      <c r="S21" s="585"/>
      <c r="T21" s="585"/>
      <c r="U21" s="585"/>
      <c r="V21" s="585"/>
      <c r="W21" s="585"/>
      <c r="X21" s="585"/>
      <c r="Y21" s="585"/>
    </row>
    <row r="22" spans="1:25">
      <c r="A22" s="594" t="s">
        <v>141</v>
      </c>
      <c r="B22" s="616">
        <f>B17*B7/1000</f>
        <v>9666.0720000000019</v>
      </c>
      <c r="C22" s="596" t="s">
        <v>30</v>
      </c>
      <c r="D22" s="596"/>
      <c r="E22" s="596"/>
      <c r="F22" s="596"/>
      <c r="G22" s="614"/>
      <c r="I22" s="585"/>
      <c r="J22" s="585"/>
      <c r="K22" s="585"/>
      <c r="L22" s="585"/>
      <c r="M22" s="585"/>
      <c r="N22" s="585"/>
      <c r="O22" s="585"/>
      <c r="P22" s="585"/>
      <c r="Q22" s="585"/>
      <c r="R22" s="585"/>
      <c r="S22" s="585"/>
      <c r="T22" s="585"/>
      <c r="U22" s="585"/>
      <c r="V22" s="585"/>
      <c r="W22" s="585"/>
      <c r="X22" s="585"/>
      <c r="Y22" s="585"/>
    </row>
    <row r="23" spans="1:25" s="617" customFormat="1">
      <c r="A23" s="594" t="s">
        <v>145</v>
      </c>
      <c r="B23" s="616">
        <f>B19*B7</f>
        <v>1984.557213053535</v>
      </c>
      <c r="C23" s="596" t="s">
        <v>181</v>
      </c>
      <c r="D23" s="596"/>
      <c r="E23" s="596"/>
      <c r="F23" s="596"/>
      <c r="G23" s="614"/>
      <c r="I23" s="585"/>
      <c r="J23" s="585"/>
      <c r="K23" s="585"/>
      <c r="L23" s="585"/>
      <c r="M23" s="585"/>
      <c r="N23" s="585"/>
      <c r="O23" s="585"/>
      <c r="P23" s="585"/>
      <c r="Q23" s="585"/>
      <c r="R23" s="585"/>
      <c r="S23" s="585"/>
      <c r="T23" s="585"/>
      <c r="U23" s="585"/>
      <c r="V23" s="585"/>
      <c r="W23" s="585"/>
      <c r="X23" s="585"/>
      <c r="Y23" s="585"/>
    </row>
    <row r="24" spans="1:25">
      <c r="A24" s="591" t="s">
        <v>207</v>
      </c>
      <c r="B24" s="592"/>
      <c r="C24" s="592"/>
      <c r="D24" s="592"/>
      <c r="E24" s="592"/>
      <c r="F24" s="592"/>
      <c r="G24" s="720"/>
      <c r="H24" s="610"/>
      <c r="I24" s="585"/>
      <c r="J24" s="585"/>
      <c r="K24" s="585"/>
      <c r="L24" s="585"/>
      <c r="M24" s="585"/>
      <c r="N24" s="585"/>
      <c r="O24" s="585"/>
      <c r="P24" s="585"/>
      <c r="Q24" s="585"/>
      <c r="R24" s="585"/>
      <c r="S24" s="585"/>
      <c r="T24" s="585"/>
      <c r="U24" s="585"/>
      <c r="V24" s="585"/>
      <c r="W24" s="585"/>
      <c r="X24" s="585"/>
      <c r="Y24" s="585"/>
    </row>
    <row r="25" spans="1:25">
      <c r="A25" s="618" t="s">
        <v>304</v>
      </c>
      <c r="B25" s="619"/>
      <c r="C25" s="620"/>
      <c r="D25" s="620"/>
      <c r="E25" s="620"/>
      <c r="F25" s="620"/>
      <c r="G25" s="726"/>
      <c r="I25" s="585"/>
      <c r="J25" s="585"/>
      <c r="K25" s="585"/>
      <c r="L25" s="585"/>
      <c r="M25" s="585"/>
      <c r="N25" s="585"/>
      <c r="O25" s="585"/>
      <c r="P25" s="585"/>
      <c r="Q25" s="585"/>
      <c r="R25" s="585"/>
      <c r="S25" s="585"/>
      <c r="T25" s="585"/>
      <c r="U25" s="585"/>
      <c r="V25" s="585"/>
      <c r="W25" s="585"/>
      <c r="X25" s="585"/>
      <c r="Y25" s="585"/>
    </row>
    <row r="26" spans="1:25">
      <c r="A26" s="622"/>
      <c r="B26" s="623"/>
      <c r="C26" s="624"/>
      <c r="D26" s="624"/>
      <c r="E26" s="624"/>
      <c r="F26" s="624"/>
      <c r="G26" s="727"/>
      <c r="I26" s="585"/>
      <c r="J26" s="585"/>
      <c r="K26" s="585"/>
      <c r="L26" s="585"/>
      <c r="M26" s="585"/>
      <c r="N26" s="585"/>
      <c r="O26" s="585"/>
      <c r="P26" s="585"/>
      <c r="Q26" s="585"/>
      <c r="R26" s="585"/>
      <c r="S26" s="585"/>
      <c r="T26" s="585"/>
      <c r="U26" s="585"/>
      <c r="V26" s="585"/>
      <c r="W26" s="585"/>
      <c r="X26" s="585"/>
      <c r="Y26" s="585"/>
    </row>
    <row r="27" spans="1:25">
      <c r="A27" s="596"/>
      <c r="B27" s="616"/>
      <c r="C27" s="596"/>
      <c r="D27" s="596"/>
      <c r="E27" s="596"/>
      <c r="F27" s="596"/>
      <c r="G27" s="596"/>
      <c r="I27" s="585"/>
      <c r="J27" s="585"/>
      <c r="K27" s="585"/>
      <c r="L27" s="585"/>
      <c r="M27" s="585"/>
      <c r="N27" s="585"/>
      <c r="O27" s="585"/>
      <c r="P27" s="585"/>
      <c r="Q27" s="585"/>
      <c r="R27" s="585"/>
      <c r="S27" s="585"/>
      <c r="T27" s="585"/>
      <c r="U27" s="585"/>
      <c r="V27" s="585"/>
      <c r="W27" s="585"/>
      <c r="X27" s="585"/>
      <c r="Y27" s="585"/>
    </row>
    <row r="31" spans="1:25" s="585" customFormat="1" ht="18.75">
      <c r="A31" s="584" t="s">
        <v>185</v>
      </c>
      <c r="B31" s="631" t="s">
        <v>696</v>
      </c>
      <c r="C31" s="631"/>
    </row>
    <row r="53" spans="1:25">
      <c r="E53" s="617"/>
      <c r="F53" s="617"/>
      <c r="G53" s="617"/>
      <c r="H53" s="617"/>
    </row>
    <row r="54" spans="1:25" s="638" customFormat="1">
      <c r="A54" s="728"/>
      <c r="B54" s="634" t="s">
        <v>186</v>
      </c>
      <c r="C54" s="635" t="s">
        <v>169</v>
      </c>
      <c r="D54" s="729" t="s">
        <v>306</v>
      </c>
      <c r="E54" s="730"/>
      <c r="F54" s="731"/>
      <c r="G54" s="731"/>
      <c r="H54" s="731"/>
      <c r="I54" s="637"/>
      <c r="J54" s="637"/>
      <c r="R54" s="712"/>
      <c r="S54" s="712"/>
      <c r="T54" s="712"/>
      <c r="U54" s="712"/>
      <c r="V54" s="712"/>
      <c r="W54" s="712"/>
      <c r="X54" s="712"/>
      <c r="Y54" s="712"/>
    </row>
    <row r="55" spans="1:25">
      <c r="A55" s="633" t="s">
        <v>232</v>
      </c>
      <c r="B55" s="639">
        <f>SUM('Nulmeting 2011'!B21:P21)</f>
        <v>36772.490543442946</v>
      </c>
      <c r="C55" s="639">
        <f>SUM(Q143:Q145)</f>
        <v>38883.492773949489</v>
      </c>
      <c r="D55" s="639">
        <f>$C$55-B23</f>
        <v>36898.935560895952</v>
      </c>
      <c r="E55" s="732"/>
      <c r="F55" s="616"/>
      <c r="G55" s="616"/>
      <c r="H55" s="616"/>
    </row>
    <row r="56" spans="1:25">
      <c r="A56" s="641" t="s">
        <v>723</v>
      </c>
      <c r="B56" s="642"/>
      <c r="C56" s="642"/>
      <c r="D56" s="643">
        <f>D55/$C$55-1</f>
        <v>-5.1038553161641853E-2</v>
      </c>
      <c r="E56" s="733"/>
      <c r="F56" s="597"/>
      <c r="G56" s="597"/>
      <c r="H56" s="597"/>
    </row>
    <row r="57" spans="1:25">
      <c r="A57" s="644" t="s">
        <v>724</v>
      </c>
      <c r="B57" s="645"/>
      <c r="C57" s="645"/>
      <c r="D57" s="646">
        <f>D55/$B$55-1</f>
        <v>3.4385763809938741E-3</v>
      </c>
      <c r="E57" s="733"/>
      <c r="F57" s="597"/>
      <c r="G57" s="597"/>
      <c r="H57" s="597"/>
    </row>
    <row r="58" spans="1:25">
      <c r="A58" s="596"/>
      <c r="B58" s="596"/>
      <c r="C58" s="596"/>
      <c r="D58" s="597"/>
      <c r="E58" s="597"/>
      <c r="F58" s="597"/>
      <c r="G58" s="597"/>
      <c r="H58" s="597"/>
    </row>
    <row r="59" spans="1:25" s="649" customFormat="1">
      <c r="A59" s="648" t="s">
        <v>183</v>
      </c>
      <c r="B59" s="648"/>
      <c r="C59" s="648"/>
      <c r="D59" s="648"/>
      <c r="E59" s="648"/>
      <c r="F59" s="648"/>
      <c r="G59" s="648"/>
      <c r="H59" s="648"/>
      <c r="I59" s="648"/>
      <c r="J59" s="648"/>
      <c r="K59" s="648"/>
      <c r="L59" s="648"/>
      <c r="M59" s="648"/>
      <c r="N59" s="648"/>
      <c r="O59" s="648"/>
      <c r="P59" s="648"/>
      <c r="Q59" s="648"/>
    </row>
    <row r="60" spans="1:25" s="654" customFormat="1">
      <c r="A60" s="651" t="s">
        <v>95</v>
      </c>
      <c r="B60" s="650"/>
      <c r="C60" s="650"/>
      <c r="D60" s="651" t="s">
        <v>102</v>
      </c>
      <c r="E60" s="650"/>
      <c r="F60" s="651"/>
      <c r="G60" s="651"/>
      <c r="H60" s="651"/>
      <c r="I60" s="650"/>
      <c r="J60" s="650"/>
      <c r="K60" s="650"/>
      <c r="L60" s="650"/>
      <c r="M60" s="650"/>
      <c r="N60" s="650"/>
      <c r="O60" s="650"/>
      <c r="P60" s="650"/>
      <c r="Q60" s="650"/>
      <c r="R60" s="652"/>
      <c r="S60" s="652"/>
      <c r="T60" s="652"/>
      <c r="U60" s="652"/>
      <c r="V60" s="652"/>
      <c r="W60" s="652"/>
      <c r="X60" s="652"/>
      <c r="Y60" s="652"/>
    </row>
    <row r="61" spans="1:25" s="654" customFormat="1">
      <c r="A61" s="650" t="s">
        <v>144</v>
      </c>
      <c r="B61" s="650"/>
      <c r="C61" s="650"/>
      <c r="D61" s="650"/>
      <c r="E61" s="650"/>
      <c r="F61" s="651"/>
      <c r="G61" s="651"/>
      <c r="H61" s="651"/>
      <c r="I61" s="650"/>
      <c r="J61" s="650"/>
      <c r="K61" s="650"/>
      <c r="L61" s="650"/>
      <c r="M61" s="650"/>
      <c r="N61" s="650"/>
      <c r="O61" s="650"/>
      <c r="P61" s="650"/>
      <c r="Q61" s="650"/>
      <c r="R61" s="652"/>
      <c r="S61" s="652"/>
      <c r="T61" s="652"/>
      <c r="U61" s="652"/>
      <c r="V61" s="652"/>
      <c r="W61" s="652"/>
      <c r="X61" s="652"/>
      <c r="Y61" s="652"/>
    </row>
    <row r="62" spans="1:25">
      <c r="A62" s="651" t="s">
        <v>2</v>
      </c>
      <c r="B62" s="655">
        <f>B137</f>
        <v>0.20531165224649006</v>
      </c>
      <c r="C62" s="651" t="s">
        <v>143</v>
      </c>
      <c r="D62" s="651" t="s">
        <v>170</v>
      </c>
      <c r="E62" s="651"/>
      <c r="F62" s="651"/>
      <c r="G62" s="651"/>
      <c r="H62" s="651"/>
      <c r="I62" s="651"/>
      <c r="J62" s="651"/>
      <c r="K62" s="651"/>
      <c r="L62" s="651"/>
      <c r="M62" s="651"/>
      <c r="N62" s="651"/>
      <c r="O62" s="651"/>
      <c r="P62" s="651"/>
      <c r="Q62" s="651"/>
      <c r="R62" s="656"/>
      <c r="S62" s="656"/>
      <c r="T62" s="656"/>
      <c r="U62" s="656"/>
      <c r="V62" s="656"/>
      <c r="W62" s="656"/>
      <c r="X62" s="656"/>
      <c r="Y62" s="656"/>
    </row>
    <row r="63" spans="1:25">
      <c r="A63" s="650" t="s">
        <v>166</v>
      </c>
      <c r="B63" s="657">
        <f>'energieprijs en discontovoet'!C39</f>
        <v>0.04</v>
      </c>
      <c r="C63" s="651"/>
      <c r="D63" s="651" t="s">
        <v>333</v>
      </c>
      <c r="E63" s="651"/>
      <c r="F63" s="651"/>
      <c r="G63" s="651"/>
      <c r="H63" s="651"/>
      <c r="I63" s="651"/>
      <c r="J63" s="651"/>
      <c r="K63" s="651"/>
      <c r="L63" s="651"/>
      <c r="M63" s="651"/>
      <c r="N63" s="651"/>
      <c r="O63" s="651"/>
      <c r="P63" s="651"/>
      <c r="Q63" s="651"/>
      <c r="R63" s="656"/>
      <c r="S63" s="656"/>
      <c r="T63" s="656"/>
      <c r="U63" s="656"/>
      <c r="V63" s="656"/>
      <c r="W63" s="656"/>
      <c r="X63" s="656"/>
      <c r="Y63" s="656"/>
    </row>
    <row r="64" spans="1:25">
      <c r="A64" s="650" t="s">
        <v>231</v>
      </c>
      <c r="B64" s="657"/>
      <c r="C64" s="651"/>
      <c r="D64" s="651"/>
      <c r="E64" s="651"/>
      <c r="F64" s="651"/>
      <c r="G64" s="651"/>
      <c r="H64" s="651"/>
      <c r="I64" s="651"/>
      <c r="J64" s="651"/>
      <c r="K64" s="651"/>
      <c r="L64" s="651"/>
      <c r="M64" s="651"/>
      <c r="N64" s="651"/>
      <c r="O64" s="651"/>
      <c r="P64" s="651"/>
      <c r="Q64" s="651"/>
      <c r="R64" s="656"/>
      <c r="S64" s="656"/>
      <c r="T64" s="656"/>
      <c r="U64" s="656"/>
      <c r="V64" s="656"/>
      <c r="W64" s="656"/>
      <c r="X64" s="656"/>
      <c r="Y64" s="656"/>
    </row>
    <row r="65" spans="1:25">
      <c r="A65" s="651" t="s">
        <v>2</v>
      </c>
      <c r="B65" s="655">
        <f>'energieprijs en discontovoet'!B6</f>
        <v>0.16528925619834711</v>
      </c>
      <c r="C65" s="660" t="s">
        <v>404</v>
      </c>
      <c r="D65" s="651" t="s">
        <v>333</v>
      </c>
      <c r="E65" s="651"/>
      <c r="F65" s="651"/>
      <c r="G65" s="651"/>
      <c r="H65" s="651"/>
      <c r="I65" s="651"/>
      <c r="J65" s="651"/>
      <c r="K65" s="651"/>
      <c r="L65" s="651"/>
      <c r="M65" s="651"/>
      <c r="N65" s="651"/>
      <c r="O65" s="651"/>
      <c r="P65" s="651"/>
      <c r="Q65" s="651"/>
      <c r="R65" s="656"/>
      <c r="S65" s="656"/>
      <c r="T65" s="656"/>
      <c r="U65" s="656"/>
      <c r="V65" s="656"/>
      <c r="W65" s="656"/>
      <c r="X65" s="656"/>
      <c r="Y65" s="656"/>
    </row>
    <row r="66" spans="1:25">
      <c r="B66" s="610"/>
    </row>
    <row r="67" spans="1:25" s="585" customFormat="1" ht="18.75">
      <c r="A67" s="584" t="s">
        <v>321</v>
      </c>
    </row>
    <row r="68" spans="1:25" s="585" customFormat="1" ht="18.75">
      <c r="A68" s="584"/>
    </row>
    <row r="69" spans="1:25" s="649" customFormat="1">
      <c r="A69" s="648" t="s">
        <v>713</v>
      </c>
      <c r="B69" s="648"/>
      <c r="C69" s="648"/>
      <c r="D69" s="648"/>
      <c r="E69" s="648"/>
      <c r="F69" s="648"/>
      <c r="G69" s="648"/>
      <c r="H69" s="648"/>
      <c r="I69" s="648"/>
      <c r="J69" s="648"/>
      <c r="K69" s="648"/>
      <c r="L69" s="648"/>
      <c r="M69" s="648"/>
      <c r="N69" s="648"/>
      <c r="O69" s="648"/>
      <c r="P69" s="648"/>
      <c r="Q69" s="648"/>
    </row>
    <row r="70" spans="1:25">
      <c r="A70" s="651" t="s">
        <v>95</v>
      </c>
      <c r="B70" s="658"/>
      <c r="C70" s="651"/>
      <c r="D70" s="651" t="s">
        <v>102</v>
      </c>
      <c r="E70" s="651"/>
      <c r="F70" s="651"/>
      <c r="G70" s="651"/>
      <c r="H70" s="651"/>
      <c r="I70" s="651"/>
      <c r="J70" s="651"/>
      <c r="K70" s="651"/>
      <c r="L70" s="651"/>
      <c r="M70" s="651"/>
      <c r="N70" s="651"/>
      <c r="O70" s="651"/>
      <c r="P70" s="651"/>
      <c r="Q70" s="651"/>
      <c r="R70" s="656"/>
      <c r="S70" s="656"/>
      <c r="T70" s="656"/>
      <c r="U70" s="656"/>
      <c r="V70" s="656"/>
      <c r="W70" s="656"/>
      <c r="X70" s="656"/>
      <c r="Y70" s="656"/>
    </row>
    <row r="71" spans="1:25">
      <c r="A71" s="651" t="s">
        <v>111</v>
      </c>
      <c r="B71" s="659">
        <f>'MTRG HUISHOUDENS'!B120</f>
        <v>0.8</v>
      </c>
      <c r="C71" s="651"/>
      <c r="D71" s="651" t="s">
        <v>318</v>
      </c>
      <c r="E71" s="651"/>
      <c r="F71" s="651"/>
      <c r="G71" s="651"/>
      <c r="H71" s="651"/>
      <c r="I71" s="651"/>
      <c r="J71" s="651"/>
      <c r="K71" s="651"/>
      <c r="L71" s="651"/>
      <c r="M71" s="651"/>
      <c r="N71" s="651"/>
      <c r="O71" s="651"/>
      <c r="P71" s="651"/>
      <c r="Q71" s="651"/>
      <c r="R71" s="656"/>
      <c r="S71" s="656"/>
      <c r="T71" s="656"/>
      <c r="U71" s="656"/>
      <c r="V71" s="656"/>
      <c r="W71" s="656"/>
      <c r="X71" s="656"/>
      <c r="Y71" s="656"/>
    </row>
    <row r="72" spans="1:25">
      <c r="A72" s="651" t="s">
        <v>112</v>
      </c>
      <c r="B72" s="659">
        <f>1-B71</f>
        <v>0.19999999999999996</v>
      </c>
      <c r="C72" s="651"/>
      <c r="D72" s="651"/>
      <c r="E72" s="651"/>
      <c r="F72" s="651"/>
      <c r="G72" s="651"/>
      <c r="H72" s="651"/>
      <c r="I72" s="651"/>
      <c r="J72" s="651"/>
      <c r="K72" s="651"/>
      <c r="L72" s="651"/>
      <c r="M72" s="651"/>
      <c r="N72" s="651"/>
      <c r="O72" s="651"/>
      <c r="P72" s="651"/>
      <c r="Q72" s="651"/>
      <c r="R72" s="656"/>
      <c r="S72" s="656"/>
      <c r="T72" s="656"/>
      <c r="U72" s="656"/>
      <c r="V72" s="656"/>
      <c r="W72" s="656"/>
      <c r="X72" s="656"/>
      <c r="Y72" s="656"/>
    </row>
    <row r="74" spans="1:25">
      <c r="A74" s="774" t="s">
        <v>48</v>
      </c>
      <c r="B74" s="775" t="s">
        <v>73</v>
      </c>
      <c r="C74" s="775"/>
      <c r="D74" s="775"/>
      <c r="E74" s="775"/>
      <c r="F74" s="775"/>
      <c r="G74" s="775"/>
      <c r="H74" s="775"/>
      <c r="I74" s="775"/>
      <c r="J74" s="775"/>
      <c r="K74" s="775"/>
      <c r="L74" s="775"/>
      <c r="M74" s="775"/>
      <c r="N74" s="775"/>
      <c r="O74" s="775"/>
      <c r="P74" s="775"/>
      <c r="Q74" s="775"/>
    </row>
    <row r="75" spans="1:25" ht="16.5" customHeight="1">
      <c r="A75" s="774"/>
      <c r="B75" s="776" t="s">
        <v>2</v>
      </c>
      <c r="C75" s="776" t="s">
        <v>31</v>
      </c>
      <c r="D75" s="776" t="s">
        <v>32</v>
      </c>
      <c r="E75" s="776"/>
      <c r="F75" s="776"/>
      <c r="G75" s="776"/>
      <c r="H75" s="776"/>
      <c r="I75" s="776"/>
      <c r="J75" s="776"/>
      <c r="K75" s="776"/>
      <c r="L75" s="776" t="s">
        <v>33</v>
      </c>
      <c r="M75" s="776"/>
      <c r="N75" s="776"/>
      <c r="O75" s="776"/>
      <c r="P75" s="776"/>
      <c r="Q75" s="776" t="s">
        <v>27</v>
      </c>
    </row>
    <row r="76" spans="1:25" ht="45">
      <c r="A76" s="774"/>
      <c r="B76" s="776"/>
      <c r="C76" s="776"/>
      <c r="D76" s="662" t="s">
        <v>34</v>
      </c>
      <c r="E76" s="662" t="s">
        <v>35</v>
      </c>
      <c r="F76" s="662" t="s">
        <v>36</v>
      </c>
      <c r="G76" s="662" t="s">
        <v>37</v>
      </c>
      <c r="H76" s="662" t="s">
        <v>29</v>
      </c>
      <c r="I76" s="662" t="s">
        <v>38</v>
      </c>
      <c r="J76" s="662" t="s">
        <v>39</v>
      </c>
      <c r="K76" s="662" t="s">
        <v>40</v>
      </c>
      <c r="L76" s="662" t="s">
        <v>41</v>
      </c>
      <c r="M76" s="662" t="s">
        <v>42</v>
      </c>
      <c r="N76" s="662" t="s">
        <v>43</v>
      </c>
      <c r="O76" s="662" t="s">
        <v>44</v>
      </c>
      <c r="P76" s="662" t="s">
        <v>45</v>
      </c>
      <c r="Q76" s="776"/>
    </row>
    <row r="77" spans="1:25">
      <c r="A77" s="663" t="s">
        <v>49</v>
      </c>
      <c r="B77" s="664">
        <f>'Nulmeting 2011'!B4</f>
        <v>37450.698305203099</v>
      </c>
      <c r="C77" s="664">
        <f>'Nulmeting 2011'!C4</f>
        <v>0</v>
      </c>
      <c r="D77" s="664">
        <f>'Nulmeting 2011'!D4</f>
        <v>126041.54106442082</v>
      </c>
      <c r="E77" s="664">
        <f>'Nulmeting 2011'!E4</f>
        <v>710.59664248632873</v>
      </c>
      <c r="F77" s="664">
        <f>'Nulmeting 2011'!F4</f>
        <v>12965.277392357542</v>
      </c>
      <c r="G77" s="664">
        <f>'Nulmeting 2011'!G4</f>
        <v>0</v>
      </c>
      <c r="H77" s="664">
        <f>'Nulmeting 2011'!H4</f>
        <v>0</v>
      </c>
      <c r="I77" s="664">
        <f>'Nulmeting 2011'!I4</f>
        <v>0</v>
      </c>
      <c r="J77" s="664">
        <f>'Nulmeting 2011'!J4</f>
        <v>0</v>
      </c>
      <c r="K77" s="664">
        <f>'Nulmeting 2011'!K4</f>
        <v>0</v>
      </c>
      <c r="L77" s="664">
        <f>'Nulmeting 2011'!L4</f>
        <v>0</v>
      </c>
      <c r="M77" s="664">
        <f>'Nulmeting 2011'!M4</f>
        <v>0</v>
      </c>
      <c r="N77" s="664">
        <f>'Nulmeting 2011'!N4</f>
        <v>4240.4994311859937</v>
      </c>
      <c r="O77" s="664">
        <f>'Nulmeting 2011'!O4</f>
        <v>85.983333333333334</v>
      </c>
      <c r="P77" s="664">
        <f>'Nulmeting 2011'!P4</f>
        <v>0</v>
      </c>
      <c r="Q77" s="664">
        <f>SUM(B77:P77)</f>
        <v>181494.5961689871</v>
      </c>
    </row>
    <row r="78" spans="1:25" s="617" customFormat="1">
      <c r="R78" s="596"/>
      <c r="S78" s="596"/>
      <c r="T78" s="596"/>
      <c r="U78" s="596"/>
      <c r="V78" s="596"/>
      <c r="W78" s="596"/>
      <c r="X78" s="596"/>
      <c r="Y78" s="596"/>
    </row>
    <row r="79" spans="1:25">
      <c r="A79" s="663" t="s">
        <v>92</v>
      </c>
      <c r="B79" s="665">
        <f>B71*B77</f>
        <v>29960.55864416248</v>
      </c>
      <c r="C79" s="663"/>
      <c r="D79" s="663">
        <f>D77</f>
        <v>126041.54106442082</v>
      </c>
      <c r="E79" s="663">
        <f t="shared" ref="E79:P79" si="0">E77</f>
        <v>710.59664248632873</v>
      </c>
      <c r="F79" s="663">
        <f t="shared" si="0"/>
        <v>12965.277392357542</v>
      </c>
      <c r="G79" s="663">
        <f t="shared" si="0"/>
        <v>0</v>
      </c>
      <c r="H79" s="663">
        <f t="shared" si="0"/>
        <v>0</v>
      </c>
      <c r="I79" s="663">
        <f t="shared" si="0"/>
        <v>0</v>
      </c>
      <c r="J79" s="663">
        <f t="shared" si="0"/>
        <v>0</v>
      </c>
      <c r="K79" s="663">
        <f t="shared" si="0"/>
        <v>0</v>
      </c>
      <c r="L79" s="663">
        <f t="shared" si="0"/>
        <v>0</v>
      </c>
      <c r="M79" s="663">
        <f t="shared" si="0"/>
        <v>0</v>
      </c>
      <c r="N79" s="663">
        <f t="shared" si="0"/>
        <v>4240.4994311859937</v>
      </c>
      <c r="O79" s="663">
        <f t="shared" si="0"/>
        <v>85.983333333333334</v>
      </c>
      <c r="P79" s="663">
        <f t="shared" si="0"/>
        <v>0</v>
      </c>
      <c r="Q79" s="663">
        <f>SUM(B79:P79)</f>
        <v>174004.45650794648</v>
      </c>
      <c r="S79" s="666"/>
    </row>
    <row r="80" spans="1:25">
      <c r="A80" s="667" t="s">
        <v>94</v>
      </c>
      <c r="B80" s="668">
        <f t="shared" ref="B80:Q80" si="1">B79/$Q79</f>
        <v>0.17218270868133906</v>
      </c>
      <c r="C80" s="668">
        <f t="shared" si="1"/>
        <v>0</v>
      </c>
      <c r="D80" s="668">
        <f t="shared" si="1"/>
        <v>0.72435812044081016</v>
      </c>
      <c r="E80" s="668">
        <f t="shared" si="1"/>
        <v>4.0837841555734925E-3</v>
      </c>
      <c r="F80" s="668">
        <f t="shared" si="1"/>
        <v>7.4511180072939345E-2</v>
      </c>
      <c r="G80" s="668">
        <f t="shared" si="1"/>
        <v>0</v>
      </c>
      <c r="H80" s="668">
        <f t="shared" si="1"/>
        <v>0</v>
      </c>
      <c r="I80" s="668">
        <f t="shared" si="1"/>
        <v>0</v>
      </c>
      <c r="J80" s="668">
        <f t="shared" si="1"/>
        <v>0</v>
      </c>
      <c r="K80" s="668">
        <f t="shared" si="1"/>
        <v>0</v>
      </c>
      <c r="L80" s="668">
        <f t="shared" si="1"/>
        <v>0</v>
      </c>
      <c r="M80" s="668">
        <f t="shared" si="1"/>
        <v>0</v>
      </c>
      <c r="N80" s="668">
        <f t="shared" si="1"/>
        <v>2.4370062217299229E-2</v>
      </c>
      <c r="O80" s="668">
        <f t="shared" si="1"/>
        <v>4.9414443203876573E-4</v>
      </c>
      <c r="P80" s="668">
        <f t="shared" si="1"/>
        <v>0</v>
      </c>
      <c r="Q80" s="668">
        <f t="shared" si="1"/>
        <v>1</v>
      </c>
      <c r="S80" s="666"/>
    </row>
    <row r="81" spans="1:25">
      <c r="A81" s="663" t="s">
        <v>93</v>
      </c>
      <c r="B81" s="665">
        <f>B72*B77</f>
        <v>7490.1396610406182</v>
      </c>
      <c r="C81" s="663"/>
      <c r="D81" s="663"/>
      <c r="E81" s="663"/>
      <c r="F81" s="663"/>
      <c r="G81" s="663"/>
      <c r="H81" s="663"/>
      <c r="I81" s="663"/>
      <c r="J81" s="663"/>
      <c r="K81" s="663"/>
      <c r="L81" s="663"/>
      <c r="M81" s="663"/>
      <c r="N81" s="663"/>
      <c r="O81" s="663"/>
      <c r="P81" s="663"/>
      <c r="Q81" s="663">
        <f>SUM(B81:P81)</f>
        <v>7490.1396610406182</v>
      </c>
      <c r="S81" s="666"/>
    </row>
    <row r="82" spans="1:25">
      <c r="A82" s="669"/>
      <c r="B82" s="669"/>
      <c r="C82" s="669"/>
      <c r="D82" s="669"/>
      <c r="E82" s="669"/>
      <c r="F82" s="669"/>
      <c r="G82" s="669"/>
      <c r="H82" s="669"/>
      <c r="I82" s="669"/>
      <c r="J82" s="669"/>
      <c r="K82" s="669"/>
      <c r="L82" s="669"/>
      <c r="M82" s="669"/>
      <c r="N82" s="669"/>
      <c r="O82" s="669"/>
      <c r="P82" s="669"/>
      <c r="Q82" s="669"/>
    </row>
    <row r="84" spans="1:25" s="649" customFormat="1">
      <c r="A84" s="648" t="s">
        <v>686</v>
      </c>
      <c r="B84" s="648"/>
      <c r="C84" s="648"/>
      <c r="D84" s="648"/>
      <c r="E84" s="648"/>
      <c r="F84" s="648"/>
      <c r="G84" s="648"/>
      <c r="H84" s="648"/>
      <c r="I84" s="648"/>
      <c r="J84" s="648"/>
      <c r="K84" s="648"/>
      <c r="L84" s="648"/>
      <c r="M84" s="648"/>
      <c r="N84" s="648"/>
      <c r="O84" s="648"/>
      <c r="P84" s="648"/>
      <c r="Q84" s="648"/>
    </row>
    <row r="85" spans="1:25">
      <c r="A85" s="651" t="s">
        <v>95</v>
      </c>
      <c r="B85" s="651"/>
      <c r="C85" s="651"/>
      <c r="D85" s="651" t="s">
        <v>102</v>
      </c>
      <c r="E85" s="651"/>
      <c r="F85" s="651"/>
      <c r="G85" s="651"/>
      <c r="H85" s="651"/>
      <c r="I85" s="651"/>
      <c r="J85" s="651"/>
      <c r="K85" s="651"/>
      <c r="L85" s="651"/>
      <c r="M85" s="651"/>
      <c r="N85" s="651"/>
      <c r="O85" s="651"/>
      <c r="P85" s="651"/>
      <c r="Q85" s="651"/>
      <c r="R85" s="656"/>
      <c r="S85" s="656"/>
      <c r="T85" s="656"/>
      <c r="U85" s="656"/>
      <c r="V85" s="656"/>
      <c r="W85" s="656"/>
      <c r="X85" s="656"/>
      <c r="Y85" s="656"/>
    </row>
    <row r="86" spans="1:25">
      <c r="A86" s="651" t="s">
        <v>98</v>
      </c>
      <c r="B86" s="651">
        <f>'MTRG HUISHOUDENS'!B135</f>
        <v>0.85</v>
      </c>
      <c r="C86" s="651"/>
      <c r="D86" s="651" t="s">
        <v>318</v>
      </c>
      <c r="E86" s="651"/>
      <c r="F86" s="651"/>
      <c r="G86" s="651"/>
      <c r="H86" s="651"/>
      <c r="I86" s="651"/>
      <c r="J86" s="651"/>
      <c r="K86" s="651"/>
      <c r="L86" s="651"/>
      <c r="M86" s="651"/>
      <c r="N86" s="651"/>
      <c r="O86" s="651"/>
      <c r="P86" s="651"/>
      <c r="Q86" s="651"/>
      <c r="R86" s="656"/>
      <c r="S86" s="656"/>
      <c r="T86" s="656"/>
      <c r="U86" s="656"/>
      <c r="V86" s="656"/>
      <c r="W86" s="656"/>
      <c r="X86" s="656"/>
      <c r="Y86" s="656"/>
    </row>
    <row r="87" spans="1:25">
      <c r="A87" s="651" t="s">
        <v>100</v>
      </c>
      <c r="B87" s="651">
        <f>1-B86</f>
        <v>0.15000000000000002</v>
      </c>
      <c r="C87" s="651"/>
      <c r="D87" s="651"/>
      <c r="E87" s="651"/>
      <c r="F87" s="651"/>
      <c r="G87" s="651"/>
      <c r="H87" s="651"/>
      <c r="I87" s="651"/>
      <c r="J87" s="651"/>
      <c r="K87" s="651"/>
      <c r="L87" s="651"/>
      <c r="M87" s="651"/>
      <c r="N87" s="651"/>
      <c r="O87" s="651"/>
      <c r="P87" s="651"/>
      <c r="Q87" s="651"/>
      <c r="R87" s="656"/>
      <c r="S87" s="656"/>
      <c r="T87" s="656"/>
      <c r="U87" s="656"/>
      <c r="V87" s="656"/>
      <c r="W87" s="656"/>
      <c r="X87" s="656"/>
      <c r="Y87" s="656"/>
    </row>
    <row r="88" spans="1:25">
      <c r="A88" s="651" t="s">
        <v>99</v>
      </c>
      <c r="B88" s="583">
        <f>'MTRG HUISHOUDENS'!B137</f>
        <v>1799</v>
      </c>
      <c r="C88" s="651"/>
      <c r="D88" s="651" t="s">
        <v>318</v>
      </c>
      <c r="E88" s="651"/>
      <c r="F88" s="651"/>
      <c r="G88" s="651"/>
      <c r="H88" s="651"/>
      <c r="I88" s="651"/>
      <c r="J88" s="651"/>
      <c r="K88" s="651"/>
      <c r="L88" s="651"/>
      <c r="M88" s="651"/>
      <c r="N88" s="651"/>
      <c r="O88" s="651"/>
      <c r="P88" s="651"/>
      <c r="Q88" s="651"/>
      <c r="R88" s="656"/>
      <c r="S88" s="656"/>
      <c r="T88" s="656"/>
      <c r="U88" s="656"/>
      <c r="V88" s="656"/>
      <c r="W88" s="656"/>
      <c r="X88" s="656"/>
      <c r="Y88" s="656"/>
    </row>
    <row r="89" spans="1:25">
      <c r="A89" s="651" t="s">
        <v>101</v>
      </c>
      <c r="B89" s="583">
        <f>'MTRG HUISHOUDENS'!B138</f>
        <v>1538</v>
      </c>
      <c r="C89" s="651"/>
      <c r="D89" s="651" t="s">
        <v>318</v>
      </c>
      <c r="E89" s="651"/>
      <c r="F89" s="651"/>
      <c r="G89" s="651"/>
      <c r="H89" s="651"/>
      <c r="I89" s="651"/>
      <c r="J89" s="651"/>
      <c r="K89" s="651"/>
      <c r="L89" s="651"/>
      <c r="M89" s="651"/>
      <c r="N89" s="651"/>
      <c r="O89" s="651"/>
      <c r="P89" s="651"/>
      <c r="Q89" s="651"/>
      <c r="R89" s="656"/>
      <c r="S89" s="656"/>
      <c r="T89" s="656"/>
      <c r="U89" s="656"/>
      <c r="V89" s="656"/>
      <c r="W89" s="656"/>
      <c r="X89" s="656"/>
      <c r="Y89" s="656"/>
    </row>
    <row r="91" spans="1:25">
      <c r="A91" s="774" t="s">
        <v>48</v>
      </c>
      <c r="B91" s="775" t="s">
        <v>719</v>
      </c>
      <c r="C91" s="775"/>
      <c r="D91" s="775"/>
      <c r="E91" s="775"/>
      <c r="F91" s="775"/>
      <c r="G91" s="775"/>
      <c r="H91" s="775"/>
      <c r="I91" s="775"/>
      <c r="J91" s="775"/>
      <c r="K91" s="775"/>
      <c r="L91" s="775"/>
      <c r="M91" s="775"/>
      <c r="N91" s="775"/>
      <c r="O91" s="775"/>
      <c r="P91" s="775"/>
      <c r="Q91" s="775"/>
    </row>
    <row r="92" spans="1:25" ht="16.5" customHeight="1">
      <c r="A92" s="774"/>
      <c r="B92" s="776" t="s">
        <v>2</v>
      </c>
      <c r="C92" s="776" t="s">
        <v>31</v>
      </c>
      <c r="D92" s="776" t="s">
        <v>32</v>
      </c>
      <c r="E92" s="776"/>
      <c r="F92" s="776"/>
      <c r="G92" s="776"/>
      <c r="H92" s="776"/>
      <c r="I92" s="776"/>
      <c r="J92" s="776"/>
      <c r="K92" s="776"/>
      <c r="L92" s="776" t="s">
        <v>33</v>
      </c>
      <c r="M92" s="776"/>
      <c r="N92" s="776"/>
      <c r="O92" s="776"/>
      <c r="P92" s="776"/>
      <c r="Q92" s="776" t="s">
        <v>27</v>
      </c>
    </row>
    <row r="93" spans="1:25" ht="45">
      <c r="A93" s="774"/>
      <c r="B93" s="776"/>
      <c r="C93" s="776"/>
      <c r="D93" s="662" t="s">
        <v>34</v>
      </c>
      <c r="E93" s="662" t="s">
        <v>35</v>
      </c>
      <c r="F93" s="662" t="s">
        <v>36</v>
      </c>
      <c r="G93" s="662" t="s">
        <v>37</v>
      </c>
      <c r="H93" s="662" t="s">
        <v>29</v>
      </c>
      <c r="I93" s="662" t="s">
        <v>38</v>
      </c>
      <c r="J93" s="662" t="s">
        <v>39</v>
      </c>
      <c r="K93" s="662" t="s">
        <v>40</v>
      </c>
      <c r="L93" s="662" t="s">
        <v>41</v>
      </c>
      <c r="M93" s="662" t="s">
        <v>42</v>
      </c>
      <c r="N93" s="662" t="s">
        <v>43</v>
      </c>
      <c r="O93" s="662" t="s">
        <v>44</v>
      </c>
      <c r="P93" s="662" t="s">
        <v>45</v>
      </c>
      <c r="Q93" s="776"/>
    </row>
    <row r="94" spans="1:25">
      <c r="A94" s="663" t="s">
        <v>49</v>
      </c>
      <c r="B94" s="663">
        <f>SUM(B96,B98)</f>
        <v>41772.382268276859</v>
      </c>
      <c r="C94" s="663">
        <f t="shared" ref="C94:P94" si="2">SUM(C96,C98)</f>
        <v>0</v>
      </c>
      <c r="D94" s="663">
        <f t="shared" si="2"/>
        <v>144222.50067764692</v>
      </c>
      <c r="E94" s="663">
        <f t="shared" si="2"/>
        <v>813.09720499321566</v>
      </c>
      <c r="F94" s="663">
        <f t="shared" si="2"/>
        <v>14835.463861469714</v>
      </c>
      <c r="G94" s="663">
        <f t="shared" si="2"/>
        <v>0</v>
      </c>
      <c r="H94" s="663">
        <f t="shared" si="2"/>
        <v>0</v>
      </c>
      <c r="I94" s="663">
        <f t="shared" si="2"/>
        <v>0</v>
      </c>
      <c r="J94" s="663">
        <f t="shared" si="2"/>
        <v>0</v>
      </c>
      <c r="K94" s="663">
        <f t="shared" si="2"/>
        <v>0</v>
      </c>
      <c r="L94" s="663">
        <f t="shared" si="2"/>
        <v>0</v>
      </c>
      <c r="M94" s="663">
        <f t="shared" si="2"/>
        <v>0</v>
      </c>
      <c r="N94" s="663">
        <f t="shared" si="2"/>
        <v>4852.1735526480306</v>
      </c>
      <c r="O94" s="663">
        <f t="shared" si="2"/>
        <v>98.386065778066751</v>
      </c>
      <c r="P94" s="663">
        <f t="shared" si="2"/>
        <v>0</v>
      </c>
      <c r="Q94" s="663">
        <f>SUM(B94:P94)</f>
        <v>206594.00363081277</v>
      </c>
    </row>
    <row r="95" spans="1:25" s="617" customFormat="1">
      <c r="R95" s="596"/>
      <c r="S95" s="596"/>
      <c r="T95" s="596"/>
      <c r="U95" s="596"/>
      <c r="V95" s="596"/>
      <c r="W95" s="596"/>
      <c r="X95" s="596"/>
      <c r="Y95" s="596"/>
    </row>
    <row r="96" spans="1:25">
      <c r="A96" s="663" t="s">
        <v>92</v>
      </c>
      <c r="B96" s="663">
        <f t="shared" ref="B96:P96" si="3">B79*$B$86*$B$88/$B$89+$B$87*B79</f>
        <v>34282.242607236243</v>
      </c>
      <c r="C96" s="663">
        <f t="shared" si="3"/>
        <v>0</v>
      </c>
      <c r="D96" s="663">
        <f t="shared" si="3"/>
        <v>144222.50067764692</v>
      </c>
      <c r="E96" s="663">
        <f t="shared" si="3"/>
        <v>813.09720499321566</v>
      </c>
      <c r="F96" s="663">
        <f t="shared" si="3"/>
        <v>14835.463861469714</v>
      </c>
      <c r="G96" s="663">
        <f t="shared" si="3"/>
        <v>0</v>
      </c>
      <c r="H96" s="663">
        <f t="shared" si="3"/>
        <v>0</v>
      </c>
      <c r="I96" s="663">
        <f t="shared" si="3"/>
        <v>0</v>
      </c>
      <c r="J96" s="663">
        <f t="shared" si="3"/>
        <v>0</v>
      </c>
      <c r="K96" s="663">
        <f t="shared" si="3"/>
        <v>0</v>
      </c>
      <c r="L96" s="663">
        <f t="shared" si="3"/>
        <v>0</v>
      </c>
      <c r="M96" s="663">
        <f t="shared" si="3"/>
        <v>0</v>
      </c>
      <c r="N96" s="663">
        <f t="shared" si="3"/>
        <v>4852.1735526480306</v>
      </c>
      <c r="O96" s="663">
        <f t="shared" si="3"/>
        <v>98.386065778066751</v>
      </c>
      <c r="P96" s="663">
        <f t="shared" si="3"/>
        <v>0</v>
      </c>
      <c r="Q96" s="663">
        <f>SUM(B96:P96)</f>
        <v>199103.86396977215</v>
      </c>
      <c r="S96" s="666"/>
    </row>
    <row r="97" spans="1:25">
      <c r="A97" s="667" t="s">
        <v>94</v>
      </c>
      <c r="B97" s="668">
        <f t="shared" ref="B97:Q98" si="4">B80</f>
        <v>0.17218270868133906</v>
      </c>
      <c r="C97" s="668">
        <f t="shared" si="4"/>
        <v>0</v>
      </c>
      <c r="D97" s="668">
        <f t="shared" si="4"/>
        <v>0.72435812044081016</v>
      </c>
      <c r="E97" s="668">
        <f t="shared" si="4"/>
        <v>4.0837841555734925E-3</v>
      </c>
      <c r="F97" s="668">
        <f t="shared" si="4"/>
        <v>7.4511180072939345E-2</v>
      </c>
      <c r="G97" s="668">
        <f t="shared" si="4"/>
        <v>0</v>
      </c>
      <c r="H97" s="668">
        <f t="shared" si="4"/>
        <v>0</v>
      </c>
      <c r="I97" s="668">
        <f t="shared" si="4"/>
        <v>0</v>
      </c>
      <c r="J97" s="668">
        <f t="shared" si="4"/>
        <v>0</v>
      </c>
      <c r="K97" s="668">
        <f t="shared" si="4"/>
        <v>0</v>
      </c>
      <c r="L97" s="668">
        <f t="shared" si="4"/>
        <v>0</v>
      </c>
      <c r="M97" s="668">
        <f t="shared" si="4"/>
        <v>0</v>
      </c>
      <c r="N97" s="668">
        <f t="shared" si="4"/>
        <v>2.4370062217299229E-2</v>
      </c>
      <c r="O97" s="668">
        <f t="shared" si="4"/>
        <v>4.9414443203876573E-4</v>
      </c>
      <c r="P97" s="668">
        <f t="shared" si="4"/>
        <v>0</v>
      </c>
      <c r="Q97" s="668">
        <f t="shared" si="4"/>
        <v>1</v>
      </c>
      <c r="S97" s="666"/>
    </row>
    <row r="98" spans="1:25">
      <c r="A98" s="663" t="s">
        <v>93</v>
      </c>
      <c r="B98" s="663">
        <f t="shared" si="4"/>
        <v>7490.1396610406182</v>
      </c>
      <c r="C98" s="663">
        <f t="shared" si="4"/>
        <v>0</v>
      </c>
      <c r="D98" s="663">
        <f t="shared" si="4"/>
        <v>0</v>
      </c>
      <c r="E98" s="663">
        <f t="shared" si="4"/>
        <v>0</v>
      </c>
      <c r="F98" s="663">
        <f t="shared" si="4"/>
        <v>0</v>
      </c>
      <c r="G98" s="663">
        <f t="shared" si="4"/>
        <v>0</v>
      </c>
      <c r="H98" s="663">
        <f t="shared" si="4"/>
        <v>0</v>
      </c>
      <c r="I98" s="663">
        <f t="shared" si="4"/>
        <v>0</v>
      </c>
      <c r="J98" s="663">
        <f t="shared" si="4"/>
        <v>0</v>
      </c>
      <c r="K98" s="663">
        <f t="shared" si="4"/>
        <v>0</v>
      </c>
      <c r="L98" s="663">
        <f t="shared" si="4"/>
        <v>0</v>
      </c>
      <c r="M98" s="663">
        <f t="shared" si="4"/>
        <v>0</v>
      </c>
      <c r="N98" s="663">
        <f t="shared" si="4"/>
        <v>0</v>
      </c>
      <c r="O98" s="663">
        <f t="shared" si="4"/>
        <v>0</v>
      </c>
      <c r="P98" s="663">
        <f t="shared" si="4"/>
        <v>0</v>
      </c>
      <c r="Q98" s="663">
        <f t="shared" si="4"/>
        <v>7490.1396610406182</v>
      </c>
      <c r="S98" s="666"/>
    </row>
    <row r="99" spans="1:25">
      <c r="A99" s="669"/>
      <c r="B99" s="669"/>
      <c r="C99" s="669"/>
      <c r="D99" s="669"/>
      <c r="E99" s="669"/>
      <c r="F99" s="669"/>
      <c r="G99" s="669"/>
      <c r="H99" s="669"/>
      <c r="I99" s="669"/>
      <c r="J99" s="669"/>
      <c r="K99" s="669"/>
      <c r="L99" s="669"/>
      <c r="M99" s="669"/>
      <c r="N99" s="669"/>
      <c r="O99" s="669"/>
      <c r="P99" s="669"/>
      <c r="Q99" s="669"/>
      <c r="S99" s="666"/>
    </row>
    <row r="100" spans="1:25">
      <c r="A100" s="669"/>
      <c r="B100" s="669"/>
      <c r="C100" s="669"/>
      <c r="D100" s="669"/>
      <c r="E100" s="669"/>
      <c r="F100" s="669"/>
      <c r="G100" s="669"/>
      <c r="H100" s="669"/>
      <c r="I100" s="669"/>
      <c r="J100" s="669"/>
      <c r="K100" s="669"/>
      <c r="L100" s="669"/>
      <c r="M100" s="669"/>
      <c r="N100" s="669"/>
      <c r="O100" s="669"/>
      <c r="P100" s="669"/>
      <c r="Q100" s="669"/>
      <c r="S100" s="666"/>
    </row>
    <row r="101" spans="1:25">
      <c r="B101" s="669"/>
    </row>
    <row r="102" spans="1:25" s="585" customFormat="1" ht="18.75">
      <c r="A102" s="584" t="s">
        <v>322</v>
      </c>
    </row>
    <row r="103" spans="1:25" s="585" customFormat="1" ht="18.75">
      <c r="A103" s="584"/>
    </row>
    <row r="104" spans="1:25" s="585" customFormat="1">
      <c r="A104" s="648" t="s">
        <v>687</v>
      </c>
      <c r="B104" s="670"/>
      <c r="C104" s="670"/>
      <c r="D104" s="670"/>
      <c r="E104" s="670"/>
      <c r="F104" s="670"/>
      <c r="G104" s="670"/>
      <c r="H104" s="670"/>
      <c r="I104" s="670"/>
      <c r="J104" s="670"/>
      <c r="K104" s="670"/>
      <c r="L104" s="670"/>
      <c r="M104" s="670"/>
      <c r="N104" s="670"/>
      <c r="O104" s="670"/>
      <c r="P104" s="670"/>
      <c r="Q104" s="670"/>
    </row>
    <row r="105" spans="1:25">
      <c r="A105" s="651" t="s">
        <v>95</v>
      </c>
      <c r="B105" s="651"/>
      <c r="C105" s="651"/>
      <c r="D105" s="651"/>
      <c r="E105" s="651"/>
      <c r="F105" s="651" t="s">
        <v>103</v>
      </c>
      <c r="G105" s="651"/>
      <c r="H105" s="651" t="s">
        <v>91</v>
      </c>
      <c r="I105" s="651"/>
      <c r="J105" s="651"/>
      <c r="K105" s="651"/>
      <c r="L105" s="651"/>
      <c r="M105" s="651"/>
      <c r="N105" s="651"/>
      <c r="O105" s="651"/>
      <c r="P105" s="651"/>
      <c r="Q105" s="651"/>
      <c r="R105" s="656"/>
      <c r="S105" s="656"/>
      <c r="T105" s="656"/>
      <c r="U105" s="656"/>
      <c r="V105" s="656"/>
      <c r="W105" s="656"/>
      <c r="X105" s="656"/>
      <c r="Y105" s="656"/>
    </row>
    <row r="106" spans="1:25">
      <c r="A106" s="651"/>
      <c r="B106" s="651"/>
      <c r="C106" s="671">
        <v>2011</v>
      </c>
      <c r="D106" s="672">
        <v>2020</v>
      </c>
      <c r="E106" s="651"/>
      <c r="F106" s="651"/>
      <c r="G106" s="651"/>
      <c r="H106" s="651"/>
      <c r="I106" s="651"/>
      <c r="J106" s="651"/>
      <c r="K106" s="651"/>
      <c r="L106" s="651"/>
      <c r="M106" s="651"/>
      <c r="N106" s="651"/>
      <c r="O106" s="651"/>
      <c r="P106" s="651"/>
      <c r="Q106" s="651"/>
      <c r="R106" s="656"/>
      <c r="S106" s="656"/>
      <c r="T106" s="656"/>
      <c r="U106" s="656"/>
      <c r="V106" s="656"/>
      <c r="W106" s="656"/>
      <c r="X106" s="656"/>
      <c r="Y106" s="656"/>
    </row>
    <row r="107" spans="1:25">
      <c r="A107" s="650" t="s">
        <v>113</v>
      </c>
      <c r="B107" s="651"/>
      <c r="C107" s="673"/>
      <c r="D107" s="674"/>
      <c r="E107" s="651"/>
      <c r="F107" s="651"/>
      <c r="G107" s="651"/>
      <c r="H107" s="651"/>
      <c r="I107" s="651"/>
      <c r="J107" s="651"/>
      <c r="K107" s="651"/>
      <c r="L107" s="651"/>
      <c r="M107" s="651"/>
      <c r="N107" s="651"/>
      <c r="O107" s="651"/>
      <c r="P107" s="651"/>
      <c r="Q107" s="651"/>
      <c r="R107" s="656"/>
      <c r="S107" s="656"/>
      <c r="T107" s="656"/>
      <c r="U107" s="656"/>
      <c r="V107" s="656"/>
      <c r="W107" s="656"/>
      <c r="X107" s="656"/>
      <c r="Y107" s="656"/>
    </row>
    <row r="108" spans="1:25">
      <c r="A108" s="651" t="s">
        <v>1</v>
      </c>
      <c r="B108" s="659" t="s">
        <v>90</v>
      </c>
      <c r="C108" s="734">
        <f>'data '!B9</f>
        <v>10771</v>
      </c>
      <c r="D108" s="735">
        <f>'data '!C9</f>
        <v>10776</v>
      </c>
      <c r="E108" s="651"/>
      <c r="F108" s="651" t="s">
        <v>106</v>
      </c>
      <c r="G108" s="651"/>
      <c r="H108" s="651" t="s">
        <v>319</v>
      </c>
      <c r="I108" s="651"/>
      <c r="J108" s="651"/>
      <c r="K108" s="651"/>
      <c r="L108" s="651"/>
      <c r="M108" s="651"/>
      <c r="N108" s="651"/>
      <c r="O108" s="651"/>
      <c r="P108" s="651"/>
      <c r="Q108" s="651"/>
      <c r="R108" s="656"/>
      <c r="S108" s="656"/>
      <c r="T108" s="656"/>
      <c r="U108" s="656"/>
      <c r="V108" s="656"/>
      <c r="W108" s="656"/>
      <c r="X108" s="656"/>
      <c r="Y108" s="656"/>
    </row>
    <row r="109" spans="1:25">
      <c r="A109" s="650" t="s">
        <v>114</v>
      </c>
      <c r="B109" s="651"/>
      <c r="C109" s="673"/>
      <c r="D109" s="674"/>
      <c r="E109" s="651"/>
      <c r="F109" s="650"/>
      <c r="G109" s="651"/>
      <c r="H109" s="651"/>
      <c r="I109" s="651"/>
      <c r="J109" s="651"/>
      <c r="K109" s="651"/>
      <c r="L109" s="651"/>
      <c r="M109" s="651"/>
      <c r="N109" s="651"/>
      <c r="O109" s="651"/>
      <c r="P109" s="651"/>
      <c r="Q109" s="651"/>
      <c r="R109" s="656"/>
      <c r="S109" s="656"/>
      <c r="T109" s="656"/>
      <c r="U109" s="656"/>
      <c r="V109" s="656"/>
      <c r="W109" s="656"/>
      <c r="X109" s="656"/>
      <c r="Y109" s="656"/>
    </row>
    <row r="110" spans="1:25">
      <c r="A110" s="651" t="s">
        <v>89</v>
      </c>
      <c r="B110" s="659" t="s">
        <v>116</v>
      </c>
      <c r="C110" s="677">
        <f>'MTRG HUISHOUDENS'!C159</f>
        <v>0.71975189008997675</v>
      </c>
      <c r="D110" s="678">
        <f>'MTRG HUISHOUDENS'!D159</f>
        <v>0.7757153149499626</v>
      </c>
      <c r="E110" s="651"/>
      <c r="F110" s="651" t="s">
        <v>96</v>
      </c>
      <c r="G110" s="651"/>
      <c r="H110" s="651" t="s">
        <v>318</v>
      </c>
      <c r="I110" s="651"/>
      <c r="J110" s="651"/>
      <c r="K110" s="651"/>
      <c r="L110" s="651"/>
      <c r="M110" s="651"/>
      <c r="N110" s="651"/>
      <c r="O110" s="651"/>
      <c r="P110" s="651"/>
      <c r="Q110" s="651"/>
      <c r="R110" s="656"/>
      <c r="S110" s="656"/>
      <c r="T110" s="656"/>
      <c r="U110" s="656"/>
      <c r="V110" s="656"/>
      <c r="W110" s="656"/>
      <c r="X110" s="656"/>
      <c r="Y110" s="656"/>
    </row>
    <row r="111" spans="1:25">
      <c r="A111" s="650" t="s">
        <v>118</v>
      </c>
      <c r="B111" s="651"/>
      <c r="C111" s="673"/>
      <c r="D111" s="674"/>
      <c r="E111" s="651"/>
      <c r="F111" s="650"/>
      <c r="G111" s="651"/>
      <c r="H111" s="651"/>
      <c r="I111" s="651"/>
      <c r="J111" s="651"/>
      <c r="K111" s="651"/>
      <c r="L111" s="651"/>
      <c r="M111" s="651"/>
      <c r="N111" s="651"/>
      <c r="O111" s="651"/>
      <c r="P111" s="651"/>
      <c r="Q111" s="651"/>
      <c r="R111" s="656"/>
      <c r="S111" s="656"/>
      <c r="T111" s="656"/>
      <c r="U111" s="656"/>
      <c r="V111" s="656"/>
      <c r="W111" s="656"/>
      <c r="X111" s="656"/>
      <c r="Y111" s="656"/>
    </row>
    <row r="112" spans="1:25">
      <c r="A112" s="651" t="s">
        <v>104</v>
      </c>
      <c r="B112" s="659" t="s">
        <v>126</v>
      </c>
      <c r="C112" s="673">
        <f>'MTRG HUISHOUDENS'!C161</f>
        <v>61</v>
      </c>
      <c r="D112" s="674">
        <f>'MTRG HUISHOUDENS'!D161</f>
        <v>30</v>
      </c>
      <c r="E112" s="651"/>
      <c r="F112" s="651" t="s">
        <v>117</v>
      </c>
      <c r="G112" s="651"/>
      <c r="H112" s="651" t="s">
        <v>318</v>
      </c>
      <c r="I112" s="651"/>
      <c r="J112" s="651"/>
      <c r="K112" s="651"/>
      <c r="L112" s="651"/>
      <c r="M112" s="651"/>
      <c r="N112" s="651"/>
      <c r="O112" s="651"/>
      <c r="P112" s="651"/>
      <c r="Q112" s="651"/>
      <c r="R112" s="656"/>
      <c r="S112" s="656"/>
      <c r="T112" s="656"/>
      <c r="U112" s="656"/>
      <c r="V112" s="656"/>
      <c r="W112" s="656"/>
      <c r="X112" s="656"/>
      <c r="Y112" s="656"/>
    </row>
    <row r="113" spans="1:25">
      <c r="A113" s="651"/>
      <c r="B113" s="659"/>
      <c r="C113" s="673"/>
      <c r="D113" s="674"/>
      <c r="E113" s="651"/>
      <c r="F113" s="651" t="s">
        <v>120</v>
      </c>
      <c r="G113" s="651"/>
      <c r="H113" s="651"/>
      <c r="I113" s="651"/>
      <c r="J113" s="651"/>
      <c r="K113" s="651"/>
      <c r="L113" s="651"/>
      <c r="M113" s="651"/>
      <c r="N113" s="651"/>
      <c r="O113" s="651"/>
      <c r="P113" s="651"/>
      <c r="Q113" s="651"/>
      <c r="R113" s="656"/>
      <c r="S113" s="656"/>
      <c r="T113" s="656"/>
      <c r="U113" s="656"/>
      <c r="V113" s="656"/>
      <c r="W113" s="656"/>
      <c r="X113" s="656"/>
      <c r="Y113" s="656"/>
    </row>
    <row r="114" spans="1:25">
      <c r="A114" s="651"/>
      <c r="B114" s="659" t="s">
        <v>127</v>
      </c>
      <c r="C114" s="736">
        <f>'MTRG HUISHOUDENS'!C163</f>
        <v>1200</v>
      </c>
      <c r="D114" s="737">
        <f>'MTRG HUISHOUDENS'!D163</f>
        <v>1200</v>
      </c>
      <c r="E114" s="651"/>
      <c r="F114" s="651" t="s">
        <v>188</v>
      </c>
      <c r="G114" s="651"/>
      <c r="H114" s="651" t="s">
        <v>318</v>
      </c>
      <c r="I114" s="651"/>
      <c r="J114" s="651"/>
      <c r="K114" s="651"/>
      <c r="L114" s="651"/>
      <c r="M114" s="651"/>
      <c r="N114" s="651"/>
      <c r="O114" s="651"/>
      <c r="P114" s="651"/>
      <c r="Q114" s="651"/>
      <c r="R114" s="656"/>
      <c r="S114" s="656"/>
      <c r="T114" s="656"/>
      <c r="U114" s="656"/>
      <c r="V114" s="656"/>
      <c r="W114" s="656"/>
      <c r="X114" s="656"/>
      <c r="Y114" s="656"/>
    </row>
    <row r="115" spans="1:25">
      <c r="A115" s="651" t="s">
        <v>189</v>
      </c>
      <c r="B115" s="659" t="s">
        <v>105</v>
      </c>
      <c r="C115" s="736">
        <f>'MTRG HUISHOUDENS'!C164</f>
        <v>174</v>
      </c>
      <c r="D115" s="737">
        <f>'MTRG HUISHOUDENS'!D164</f>
        <v>158.34</v>
      </c>
      <c r="E115" s="651"/>
      <c r="F115" s="651" t="s">
        <v>125</v>
      </c>
      <c r="G115" s="651"/>
      <c r="H115" s="651" t="s">
        <v>318</v>
      </c>
      <c r="I115" s="651"/>
      <c r="J115" s="651"/>
      <c r="K115" s="651"/>
      <c r="L115" s="651"/>
      <c r="M115" s="651"/>
      <c r="N115" s="651"/>
      <c r="O115" s="651"/>
      <c r="P115" s="651"/>
      <c r="Q115" s="651"/>
      <c r="R115" s="656"/>
      <c r="S115" s="656"/>
      <c r="T115" s="656"/>
      <c r="U115" s="656"/>
      <c r="V115" s="656"/>
      <c r="W115" s="656"/>
      <c r="X115" s="656"/>
      <c r="Y115" s="656"/>
    </row>
    <row r="116" spans="1:25">
      <c r="A116" s="651" t="s">
        <v>110</v>
      </c>
      <c r="B116" s="651" t="s">
        <v>134</v>
      </c>
      <c r="C116" s="673"/>
      <c r="D116" s="674"/>
      <c r="E116" s="651"/>
      <c r="F116" s="651"/>
      <c r="G116" s="651"/>
      <c r="H116" s="651"/>
      <c r="I116" s="651"/>
      <c r="J116" s="651"/>
      <c r="K116" s="651"/>
      <c r="L116" s="651"/>
      <c r="M116" s="651"/>
      <c r="N116" s="651"/>
      <c r="O116" s="651"/>
      <c r="P116" s="651"/>
      <c r="Q116" s="651"/>
      <c r="R116" s="656"/>
      <c r="S116" s="656"/>
      <c r="T116" s="656"/>
      <c r="U116" s="656"/>
      <c r="V116" s="656"/>
      <c r="W116" s="656"/>
      <c r="X116" s="656"/>
      <c r="Y116" s="656"/>
    </row>
    <row r="117" spans="1:25">
      <c r="A117" s="651"/>
      <c r="B117" s="659" t="s">
        <v>34</v>
      </c>
      <c r="C117" s="677">
        <f>'MTRG HUISHOUDENS'!C166</f>
        <v>0.94</v>
      </c>
      <c r="D117" s="678">
        <f>'MTRG HUISHOUDENS'!D166</f>
        <v>0.06</v>
      </c>
      <c r="E117" s="651"/>
      <c r="F117" s="651" t="s">
        <v>108</v>
      </c>
      <c r="G117" s="651"/>
      <c r="H117" s="651" t="s">
        <v>318</v>
      </c>
      <c r="I117" s="651"/>
      <c r="J117" s="651"/>
      <c r="K117" s="651"/>
      <c r="L117" s="651"/>
      <c r="M117" s="651"/>
      <c r="N117" s="651"/>
      <c r="O117" s="651"/>
      <c r="P117" s="651"/>
      <c r="Q117" s="651"/>
      <c r="R117" s="656"/>
      <c r="S117" s="656"/>
      <c r="T117" s="656"/>
      <c r="U117" s="656"/>
      <c r="V117" s="656"/>
      <c r="W117" s="656"/>
      <c r="X117" s="656"/>
      <c r="Y117" s="656"/>
    </row>
    <row r="118" spans="1:25">
      <c r="A118" s="651"/>
      <c r="B118" s="659" t="s">
        <v>107</v>
      </c>
      <c r="C118" s="677">
        <f>'MTRG HUISHOUDENS'!C167</f>
        <v>0.06</v>
      </c>
      <c r="D118" s="678">
        <f>'MTRG HUISHOUDENS'!D167</f>
        <v>0.94</v>
      </c>
      <c r="E118" s="651"/>
      <c r="F118" s="651" t="s">
        <v>119</v>
      </c>
      <c r="G118" s="651"/>
      <c r="H118" s="651" t="s">
        <v>318</v>
      </c>
      <c r="I118" s="651"/>
      <c r="J118" s="651"/>
      <c r="K118" s="651"/>
      <c r="L118" s="651"/>
      <c r="M118" s="651"/>
      <c r="N118" s="651"/>
      <c r="O118" s="651"/>
      <c r="P118" s="651"/>
      <c r="Q118" s="651"/>
      <c r="R118" s="656"/>
      <c r="S118" s="656"/>
      <c r="T118" s="656"/>
      <c r="U118" s="656"/>
      <c r="V118" s="656"/>
      <c r="W118" s="656"/>
      <c r="X118" s="656"/>
      <c r="Y118" s="656"/>
    </row>
    <row r="119" spans="1:25">
      <c r="A119" s="651"/>
      <c r="B119" s="651" t="s">
        <v>26</v>
      </c>
      <c r="C119" s="677">
        <f>'MTRG HUISHOUDENS'!C168</f>
        <v>0.06</v>
      </c>
      <c r="D119" s="678">
        <f>'MTRG HUISHOUDENS'!D168</f>
        <v>0.06</v>
      </c>
      <c r="E119" s="651"/>
      <c r="F119" s="651"/>
      <c r="G119" s="651"/>
      <c r="H119" s="651"/>
      <c r="I119" s="651"/>
      <c r="J119" s="651"/>
      <c r="K119" s="651"/>
      <c r="L119" s="651"/>
      <c r="M119" s="651"/>
      <c r="N119" s="651"/>
      <c r="O119" s="651"/>
      <c r="P119" s="651"/>
      <c r="Q119" s="651"/>
      <c r="R119" s="656"/>
      <c r="S119" s="656"/>
      <c r="T119" s="656"/>
      <c r="U119" s="656"/>
      <c r="V119" s="656"/>
      <c r="W119" s="656"/>
      <c r="X119" s="656"/>
      <c r="Y119" s="656"/>
    </row>
    <row r="120" spans="1:25">
      <c r="A120" s="738" t="s">
        <v>124</v>
      </c>
      <c r="B120" s="651" t="s">
        <v>128</v>
      </c>
      <c r="C120" s="739">
        <f>'MTRG HUISHOUDENS'!C169</f>
        <v>1.0191999999999999</v>
      </c>
      <c r="D120" s="740">
        <f>'MTRG HUISHOUDENS'!D169</f>
        <v>3.0608</v>
      </c>
      <c r="E120" s="651"/>
      <c r="F120" s="651" t="s">
        <v>194</v>
      </c>
      <c r="G120" s="651"/>
      <c r="H120" s="651" t="s">
        <v>318</v>
      </c>
      <c r="I120" s="651"/>
      <c r="J120" s="651"/>
      <c r="K120" s="651"/>
      <c r="L120" s="651"/>
      <c r="M120" s="651"/>
      <c r="N120" s="651"/>
      <c r="O120" s="651"/>
      <c r="P120" s="651"/>
      <c r="Q120" s="651"/>
      <c r="R120" s="656"/>
      <c r="S120" s="656"/>
      <c r="T120" s="656"/>
      <c r="U120" s="656"/>
      <c r="V120" s="656"/>
      <c r="W120" s="656"/>
      <c r="X120" s="656"/>
      <c r="Y120" s="656"/>
    </row>
    <row r="121" spans="1:25">
      <c r="A121" s="738" t="s">
        <v>190</v>
      </c>
      <c r="B121" s="651" t="s">
        <v>193</v>
      </c>
      <c r="C121" s="741">
        <f>'MTRG HUISHOUDENS'!C170</f>
        <v>43.199999999999996</v>
      </c>
      <c r="D121" s="742">
        <f>'MTRG HUISHOUDENS'!D170</f>
        <v>43.199999999999996</v>
      </c>
      <c r="E121" s="651"/>
      <c r="F121" s="651" t="s">
        <v>320</v>
      </c>
      <c r="G121" s="651"/>
      <c r="H121" s="651" t="s">
        <v>318</v>
      </c>
      <c r="I121" s="651"/>
      <c r="J121" s="651"/>
      <c r="K121" s="651"/>
      <c r="L121" s="651"/>
      <c r="M121" s="651"/>
      <c r="N121" s="651"/>
      <c r="O121" s="651"/>
      <c r="P121" s="651"/>
      <c r="Q121" s="651"/>
      <c r="R121" s="656"/>
      <c r="S121" s="656"/>
      <c r="T121" s="656"/>
      <c r="U121" s="656"/>
      <c r="V121" s="656"/>
      <c r="W121" s="656"/>
      <c r="X121" s="656"/>
      <c r="Y121" s="656"/>
    </row>
    <row r="122" spans="1:25">
      <c r="A122" s="650" t="s">
        <v>115</v>
      </c>
      <c r="B122" s="659"/>
      <c r="C122" s="673"/>
      <c r="D122" s="674"/>
      <c r="E122" s="651"/>
      <c r="F122" s="650"/>
      <c r="G122" s="651"/>
      <c r="H122" s="651"/>
      <c r="I122" s="651"/>
      <c r="J122" s="651"/>
      <c r="K122" s="651"/>
      <c r="L122" s="651"/>
      <c r="M122" s="651"/>
      <c r="N122" s="651"/>
      <c r="O122" s="651"/>
      <c r="P122" s="651"/>
      <c r="Q122" s="651"/>
      <c r="R122" s="656"/>
      <c r="S122" s="656"/>
      <c r="T122" s="656"/>
      <c r="U122" s="656"/>
      <c r="V122" s="656"/>
      <c r="W122" s="656"/>
      <c r="X122" s="656"/>
      <c r="Y122" s="656"/>
    </row>
    <row r="123" spans="1:25">
      <c r="A123" s="651" t="s">
        <v>123</v>
      </c>
      <c r="B123" s="659"/>
      <c r="C123" s="686">
        <f>'MTRG HUISHOUDENS'!C172</f>
        <v>0</v>
      </c>
      <c r="D123" s="687">
        <f>'MTRG HUISHOUDENS'!D172</f>
        <v>4.4999999999999998E-2</v>
      </c>
      <c r="E123" s="651"/>
      <c r="F123" s="651" t="s">
        <v>122</v>
      </c>
      <c r="G123" s="651"/>
      <c r="H123" s="651" t="s">
        <v>318</v>
      </c>
      <c r="I123" s="651"/>
      <c r="J123" s="651"/>
      <c r="K123" s="651"/>
      <c r="L123" s="651"/>
      <c r="M123" s="651"/>
      <c r="N123" s="651"/>
      <c r="O123" s="651"/>
      <c r="P123" s="651"/>
      <c r="Q123" s="651"/>
      <c r="R123" s="656"/>
      <c r="S123" s="656"/>
      <c r="T123" s="656"/>
      <c r="U123" s="656"/>
      <c r="V123" s="656"/>
      <c r="W123" s="656"/>
      <c r="X123" s="656"/>
      <c r="Y123" s="656"/>
    </row>
    <row r="124" spans="1:25">
      <c r="A124" s="650" t="s">
        <v>130</v>
      </c>
      <c r="B124" s="659"/>
      <c r="C124" s="659"/>
      <c r="D124" s="657"/>
      <c r="E124" s="651"/>
      <c r="F124" s="688"/>
      <c r="G124" s="651"/>
      <c r="H124" s="651"/>
      <c r="I124" s="651"/>
      <c r="J124" s="651"/>
      <c r="K124" s="651"/>
      <c r="L124" s="651"/>
      <c r="M124" s="651"/>
      <c r="N124" s="651"/>
      <c r="O124" s="651"/>
      <c r="P124" s="651"/>
      <c r="Q124" s="651"/>
      <c r="R124" s="656"/>
      <c r="S124" s="656"/>
      <c r="T124" s="656"/>
      <c r="U124" s="656"/>
      <c r="V124" s="656"/>
      <c r="W124" s="656"/>
      <c r="X124" s="656"/>
      <c r="Y124" s="656"/>
    </row>
    <row r="125" spans="1:25">
      <c r="A125" s="651" t="s">
        <v>722</v>
      </c>
      <c r="B125" s="659"/>
      <c r="C125" s="689"/>
      <c r="D125" s="689"/>
      <c r="E125" s="651"/>
      <c r="F125" s="651"/>
      <c r="G125" s="651"/>
      <c r="H125" s="651"/>
      <c r="I125" s="651"/>
      <c r="J125" s="651"/>
      <c r="K125" s="651"/>
      <c r="L125" s="651"/>
      <c r="M125" s="651"/>
      <c r="N125" s="651"/>
      <c r="O125" s="651"/>
      <c r="P125" s="651"/>
      <c r="Q125" s="651"/>
      <c r="R125" s="656"/>
      <c r="S125" s="656"/>
      <c r="T125" s="656"/>
      <c r="U125" s="656"/>
      <c r="V125" s="656"/>
      <c r="W125" s="656"/>
      <c r="X125" s="656"/>
      <c r="Y125" s="656"/>
    </row>
    <row r="126" spans="1:25">
      <c r="A126" s="651" t="s">
        <v>192</v>
      </c>
      <c r="B126" s="651"/>
      <c r="C126" s="651"/>
      <c r="D126" s="651"/>
      <c r="E126" s="651"/>
      <c r="F126" s="651"/>
      <c r="G126" s="651"/>
      <c r="H126" s="651"/>
      <c r="I126" s="651"/>
      <c r="J126" s="651"/>
      <c r="K126" s="651"/>
      <c r="L126" s="651"/>
      <c r="M126" s="651"/>
      <c r="N126" s="651"/>
      <c r="O126" s="651"/>
      <c r="P126" s="651"/>
      <c r="Q126" s="651"/>
      <c r="R126" s="656"/>
      <c r="S126" s="656"/>
      <c r="T126" s="656"/>
      <c r="U126" s="656"/>
      <c r="V126" s="656"/>
      <c r="W126" s="656"/>
      <c r="X126" s="656"/>
      <c r="Y126" s="656"/>
    </row>
    <row r="128" spans="1:25">
      <c r="A128" s="774" t="s">
        <v>48</v>
      </c>
      <c r="B128" s="775" t="s">
        <v>720</v>
      </c>
      <c r="C128" s="775"/>
      <c r="D128" s="775"/>
      <c r="E128" s="775"/>
      <c r="F128" s="775"/>
      <c r="G128" s="775"/>
      <c r="H128" s="775"/>
      <c r="I128" s="775"/>
      <c r="J128" s="775"/>
      <c r="K128" s="775"/>
      <c r="L128" s="775"/>
      <c r="M128" s="775"/>
      <c r="N128" s="775"/>
      <c r="O128" s="775"/>
      <c r="P128" s="775"/>
      <c r="Q128" s="775"/>
    </row>
    <row r="129" spans="1:19" ht="16.5" customHeight="1">
      <c r="A129" s="774"/>
      <c r="B129" s="776" t="s">
        <v>2</v>
      </c>
      <c r="C129" s="776" t="s">
        <v>31</v>
      </c>
      <c r="D129" s="776" t="s">
        <v>32</v>
      </c>
      <c r="E129" s="776"/>
      <c r="F129" s="776"/>
      <c r="G129" s="776"/>
      <c r="H129" s="776"/>
      <c r="I129" s="776"/>
      <c r="J129" s="776"/>
      <c r="K129" s="776"/>
      <c r="L129" s="776" t="s">
        <v>33</v>
      </c>
      <c r="M129" s="776"/>
      <c r="N129" s="776"/>
      <c r="O129" s="776"/>
      <c r="P129" s="776"/>
      <c r="Q129" s="776" t="s">
        <v>27</v>
      </c>
    </row>
    <row r="130" spans="1:19" ht="45">
      <c r="A130" s="774"/>
      <c r="B130" s="776"/>
      <c r="C130" s="776"/>
      <c r="D130" s="662" t="s">
        <v>34</v>
      </c>
      <c r="E130" s="662" t="s">
        <v>35</v>
      </c>
      <c r="F130" s="662" t="s">
        <v>36</v>
      </c>
      <c r="G130" s="662" t="s">
        <v>37</v>
      </c>
      <c r="H130" s="662" t="s">
        <v>29</v>
      </c>
      <c r="I130" s="662" t="s">
        <v>38</v>
      </c>
      <c r="J130" s="662" t="s">
        <v>39</v>
      </c>
      <c r="K130" s="662" t="s">
        <v>40</v>
      </c>
      <c r="L130" s="662" t="s">
        <v>41</v>
      </c>
      <c r="M130" s="662" t="s">
        <v>42</v>
      </c>
      <c r="N130" s="662" t="s">
        <v>43</v>
      </c>
      <c r="O130" s="662" t="s">
        <v>44</v>
      </c>
      <c r="P130" s="662" t="s">
        <v>45</v>
      </c>
      <c r="Q130" s="776"/>
    </row>
    <row r="131" spans="1:19">
      <c r="A131" s="663" t="s">
        <v>129</v>
      </c>
      <c r="B131" s="663">
        <f t="shared" ref="B131:N131" si="5">B96*$C$110/$D$110</f>
        <v>31808.974810137737</v>
      </c>
      <c r="C131" s="663">
        <f t="shared" si="5"/>
        <v>0</v>
      </c>
      <c r="D131" s="663">
        <f t="shared" si="5"/>
        <v>133817.67183871471</v>
      </c>
      <c r="E131" s="663">
        <f t="shared" si="5"/>
        <v>754.43689049570253</v>
      </c>
      <c r="F131" s="663">
        <f t="shared" si="5"/>
        <v>13765.16996488995</v>
      </c>
      <c r="G131" s="663">
        <f t="shared" si="5"/>
        <v>0</v>
      </c>
      <c r="H131" s="663">
        <f t="shared" si="5"/>
        <v>0</v>
      </c>
      <c r="I131" s="663">
        <f t="shared" si="5"/>
        <v>0</v>
      </c>
      <c r="J131" s="663">
        <f t="shared" si="5"/>
        <v>0</v>
      </c>
      <c r="K131" s="663">
        <f t="shared" si="5"/>
        <v>0</v>
      </c>
      <c r="L131" s="663">
        <f t="shared" si="5"/>
        <v>0</v>
      </c>
      <c r="M131" s="663">
        <f t="shared" si="5"/>
        <v>0</v>
      </c>
      <c r="N131" s="663">
        <f t="shared" si="5"/>
        <v>4502.1169728849445</v>
      </c>
      <c r="O131" s="663">
        <f>O96</f>
        <v>98.386065778066751</v>
      </c>
      <c r="P131" s="665">
        <f>P96</f>
        <v>0</v>
      </c>
      <c r="Q131" s="663">
        <f>SUM(B131:P131)</f>
        <v>184746.7565429011</v>
      </c>
      <c r="R131" s="690"/>
      <c r="S131" s="690"/>
    </row>
    <row r="132" spans="1:19">
      <c r="A132" s="663" t="s">
        <v>132</v>
      </c>
      <c r="B132" s="663">
        <f>AVERAGE($C$118:$D$118)*($D$108-$C$108)*(AVERAGE($C$115:$D$115)*AVERAGE($C$112:$D$112)+AVERAGE($C$114:$D$114))/320%/1000-AVERAGE($C$121:$D$121)*($D$108-$C$108)*AVERAGE($C$118:$D$118)/320%/1000</f>
        <v>6.8105742187499994</v>
      </c>
      <c r="C132" s="663"/>
      <c r="D132" s="663">
        <f>AVERAGE($C$117:$D$117)*($D$108-$C$108)*(AVERAGE($C$115:$D$115)*AVERAGE($C$112:$D$112)+AVERAGE($C$114:$D$114))/88%/1000-AVERAGE($C$121:$D$121)*($D$108-$C$108)*AVERAGE($C$117:$D$117)/88%/1000</f>
        <v>24.765724431818185</v>
      </c>
      <c r="E132" s="663"/>
      <c r="F132" s="663"/>
      <c r="G132" s="663"/>
      <c r="H132" s="663"/>
      <c r="I132" s="663"/>
      <c r="J132" s="663"/>
      <c r="K132" s="663"/>
      <c r="L132" s="663"/>
      <c r="M132" s="663"/>
      <c r="N132" s="663"/>
      <c r="O132" s="663">
        <f>AVERAGE(C121:D121)*(D108-C108)/1000</f>
        <v>0.21599999999999997</v>
      </c>
      <c r="P132" s="663">
        <f>B132*(320%-100%)</f>
        <v>14.98326328125</v>
      </c>
      <c r="Q132" s="663">
        <f>SUM(B132:P132)</f>
        <v>46.775561931818189</v>
      </c>
    </row>
    <row r="133" spans="1:19">
      <c r="A133" s="663" t="s">
        <v>109</v>
      </c>
      <c r="B133" s="663">
        <f>B98-D123*B98</f>
        <v>7153.08337629379</v>
      </c>
      <c r="C133" s="663"/>
      <c r="D133" s="663"/>
      <c r="E133" s="663"/>
      <c r="F133" s="663"/>
      <c r="G133" s="663"/>
      <c r="H133" s="663"/>
      <c r="I133" s="663"/>
      <c r="J133" s="663"/>
      <c r="K133" s="663"/>
      <c r="L133" s="663"/>
      <c r="M133" s="663"/>
      <c r="N133" s="663"/>
      <c r="O133" s="663"/>
      <c r="P133" s="663"/>
      <c r="Q133" s="663">
        <f>SUM(B133:P133)</f>
        <v>7153.08337629379</v>
      </c>
    </row>
    <row r="134" spans="1:19">
      <c r="A134" s="691" t="s">
        <v>712</v>
      </c>
      <c r="B134" s="692"/>
      <c r="C134" s="692"/>
      <c r="D134" s="692"/>
      <c r="E134" s="692"/>
      <c r="F134" s="692"/>
      <c r="G134" s="692"/>
      <c r="H134" s="692"/>
      <c r="I134" s="692"/>
      <c r="J134" s="692"/>
      <c r="K134" s="692"/>
      <c r="L134" s="692"/>
      <c r="M134" s="692"/>
      <c r="N134" s="692"/>
      <c r="O134" s="692"/>
      <c r="P134" s="693"/>
      <c r="Q134" s="663">
        <f>SUM(Q131:Q133)-Q94</f>
        <v>-14647.38814968607</v>
      </c>
    </row>
    <row r="135" spans="1:19">
      <c r="A135" s="669"/>
      <c r="B135" s="694"/>
      <c r="C135" s="669"/>
      <c r="D135" s="669"/>
      <c r="E135" s="669"/>
      <c r="F135" s="669"/>
      <c r="G135" s="669"/>
      <c r="H135" s="669"/>
      <c r="I135" s="669"/>
      <c r="J135" s="669"/>
      <c r="K135" s="669"/>
      <c r="L135" s="669"/>
      <c r="M135" s="669"/>
      <c r="N135" s="669"/>
      <c r="O135" s="669"/>
      <c r="P135" s="669"/>
      <c r="Q135" s="695">
        <f>Q134/Q94</f>
        <v>-7.0899386682399645E-2</v>
      </c>
    </row>
    <row r="136" spans="1:19">
      <c r="A136" s="669"/>
      <c r="B136" s="669"/>
      <c r="C136" s="669"/>
      <c r="D136" s="669"/>
      <c r="E136" s="669"/>
      <c r="F136" s="669"/>
      <c r="G136" s="669"/>
      <c r="H136" s="669"/>
      <c r="I136" s="669"/>
      <c r="J136" s="669"/>
      <c r="K136" s="669"/>
      <c r="L136" s="669"/>
      <c r="M136" s="669"/>
      <c r="N136" s="669"/>
      <c r="O136" s="669"/>
      <c r="P136" s="669"/>
    </row>
    <row r="137" spans="1:19" s="647" customFormat="1">
      <c r="A137" s="743" t="s">
        <v>142</v>
      </c>
      <c r="B137" s="697">
        <f>'Nulmeting 2011'!B16</f>
        <v>0.20531165224649006</v>
      </c>
      <c r="C137" s="697">
        <f>'Nulmeting 2011'!C16</f>
        <v>0</v>
      </c>
      <c r="D137" s="697">
        <f>'Nulmeting 2011'!D16</f>
        <v>0.20200000000000001</v>
      </c>
      <c r="E137" s="697">
        <f>'Nulmeting 2011'!E16</f>
        <v>0.22700000000000001</v>
      </c>
      <c r="F137" s="697">
        <f>'Nulmeting 2011'!F16</f>
        <v>0.26700000000000002</v>
      </c>
      <c r="G137" s="697">
        <f>'Nulmeting 2011'!G16</f>
        <v>0.26700000000000002</v>
      </c>
      <c r="H137" s="697">
        <f>'Nulmeting 2011'!H16</f>
        <v>0.249</v>
      </c>
      <c r="I137" s="697">
        <f>'Nulmeting 2011'!I16</f>
        <v>0.35099999999999998</v>
      </c>
      <c r="J137" s="697">
        <f>'Nulmeting 2011'!J16</f>
        <v>0.35399999999999998</v>
      </c>
      <c r="K137" s="697">
        <f>'Nulmeting 2011'!K16</f>
        <v>0.26400000000000001</v>
      </c>
      <c r="L137" s="697">
        <f>'Nulmeting 2011'!L16</f>
        <v>0</v>
      </c>
      <c r="M137" s="697">
        <f>'Nulmeting 2011'!M16</f>
        <v>0</v>
      </c>
      <c r="N137" s="697">
        <f>'Nulmeting 2011'!N16</f>
        <v>0</v>
      </c>
      <c r="O137" s="697">
        <f>'Nulmeting 2011'!O16</f>
        <v>0</v>
      </c>
      <c r="P137" s="697">
        <f>'Nulmeting 2011'!P16</f>
        <v>0</v>
      </c>
    </row>
    <row r="139" spans="1:19">
      <c r="A139" s="669"/>
      <c r="B139" s="669"/>
      <c r="C139" s="669"/>
      <c r="D139" s="669"/>
      <c r="E139" s="669"/>
      <c r="F139" s="669"/>
      <c r="G139" s="669"/>
      <c r="H139" s="669"/>
      <c r="I139" s="669"/>
      <c r="J139" s="669"/>
      <c r="K139" s="669"/>
      <c r="L139" s="669"/>
      <c r="M139" s="669"/>
      <c r="N139" s="669"/>
      <c r="O139" s="669"/>
      <c r="P139" s="669"/>
    </row>
    <row r="140" spans="1:19" ht="15" customHeight="1">
      <c r="A140" s="777" t="s">
        <v>48</v>
      </c>
      <c r="B140" s="780" t="s">
        <v>721</v>
      </c>
      <c r="C140" s="781"/>
      <c r="D140" s="781"/>
      <c r="E140" s="781"/>
      <c r="F140" s="781"/>
      <c r="G140" s="781"/>
      <c r="H140" s="781"/>
      <c r="I140" s="781"/>
      <c r="J140" s="781"/>
      <c r="K140" s="781"/>
      <c r="L140" s="781"/>
      <c r="M140" s="781"/>
      <c r="N140" s="781"/>
      <c r="O140" s="781"/>
      <c r="P140" s="781"/>
      <c r="Q140" s="782"/>
    </row>
    <row r="141" spans="1:19" ht="16.5" customHeight="1">
      <c r="A141" s="778"/>
      <c r="B141" s="783" t="s">
        <v>2</v>
      </c>
      <c r="C141" s="783" t="s">
        <v>31</v>
      </c>
      <c r="D141" s="785" t="s">
        <v>32</v>
      </c>
      <c r="E141" s="786"/>
      <c r="F141" s="786"/>
      <c r="G141" s="786"/>
      <c r="H141" s="786"/>
      <c r="I141" s="786"/>
      <c r="J141" s="786"/>
      <c r="K141" s="787"/>
      <c r="L141" s="785" t="s">
        <v>33</v>
      </c>
      <c r="M141" s="786"/>
      <c r="N141" s="786"/>
      <c r="O141" s="786"/>
      <c r="P141" s="787"/>
      <c r="Q141" s="783" t="s">
        <v>27</v>
      </c>
    </row>
    <row r="142" spans="1:19" ht="45">
      <c r="A142" s="779"/>
      <c r="B142" s="784"/>
      <c r="C142" s="784"/>
      <c r="D142" s="662" t="s">
        <v>34</v>
      </c>
      <c r="E142" s="662" t="s">
        <v>35</v>
      </c>
      <c r="F142" s="662" t="s">
        <v>36</v>
      </c>
      <c r="G142" s="662" t="s">
        <v>37</v>
      </c>
      <c r="H142" s="662" t="s">
        <v>29</v>
      </c>
      <c r="I142" s="662" t="s">
        <v>38</v>
      </c>
      <c r="J142" s="662" t="s">
        <v>39</v>
      </c>
      <c r="K142" s="662" t="s">
        <v>40</v>
      </c>
      <c r="L142" s="662" t="s">
        <v>41</v>
      </c>
      <c r="M142" s="662" t="s">
        <v>42</v>
      </c>
      <c r="N142" s="662" t="s">
        <v>43</v>
      </c>
      <c r="O142" s="662" t="s">
        <v>44</v>
      </c>
      <c r="P142" s="662" t="s">
        <v>45</v>
      </c>
      <c r="Q142" s="784"/>
    </row>
    <row r="143" spans="1:19">
      <c r="A143" s="663" t="s">
        <v>129</v>
      </c>
      <c r="B143" s="663">
        <f>B131*B$137</f>
        <v>6530.7531745363613</v>
      </c>
      <c r="C143" s="663">
        <f t="shared" ref="C143:P143" si="6">C131*C$137</f>
        <v>0</v>
      </c>
      <c r="D143" s="663">
        <f t="shared" si="6"/>
        <v>27031.169711420374</v>
      </c>
      <c r="E143" s="663">
        <f t="shared" si="6"/>
        <v>171.25717414252449</v>
      </c>
      <c r="F143" s="663">
        <f t="shared" si="6"/>
        <v>3675.300380625617</v>
      </c>
      <c r="G143" s="663">
        <f t="shared" si="6"/>
        <v>0</v>
      </c>
      <c r="H143" s="663">
        <f t="shared" si="6"/>
        <v>0</v>
      </c>
      <c r="I143" s="663">
        <f t="shared" si="6"/>
        <v>0</v>
      </c>
      <c r="J143" s="663">
        <f t="shared" si="6"/>
        <v>0</v>
      </c>
      <c r="K143" s="663">
        <f t="shared" si="6"/>
        <v>0</v>
      </c>
      <c r="L143" s="663">
        <f t="shared" si="6"/>
        <v>0</v>
      </c>
      <c r="M143" s="663">
        <f t="shared" si="6"/>
        <v>0</v>
      </c>
      <c r="N143" s="663">
        <f t="shared" si="6"/>
        <v>0</v>
      </c>
      <c r="O143" s="663">
        <f t="shared" si="6"/>
        <v>0</v>
      </c>
      <c r="P143" s="663">
        <f t="shared" si="6"/>
        <v>0</v>
      </c>
      <c r="Q143" s="663">
        <f>SUM(B143:P143)</f>
        <v>37408.480440724881</v>
      </c>
      <c r="S143" s="690"/>
    </row>
    <row r="144" spans="1:19">
      <c r="A144" s="663" t="s">
        <v>132</v>
      </c>
      <c r="B144" s="663">
        <f t="shared" ref="B144:P145" si="7">B132*B$137</f>
        <v>1.3982902455989106</v>
      </c>
      <c r="C144" s="663">
        <f t="shared" si="7"/>
        <v>0</v>
      </c>
      <c r="D144" s="663">
        <f t="shared" si="7"/>
        <v>5.0026763352272736</v>
      </c>
      <c r="E144" s="663">
        <f t="shared" si="7"/>
        <v>0</v>
      </c>
      <c r="F144" s="663">
        <f t="shared" si="7"/>
        <v>0</v>
      </c>
      <c r="G144" s="663">
        <f t="shared" si="7"/>
        <v>0</v>
      </c>
      <c r="H144" s="663">
        <f t="shared" si="7"/>
        <v>0</v>
      </c>
      <c r="I144" s="663">
        <f t="shared" si="7"/>
        <v>0</v>
      </c>
      <c r="J144" s="663">
        <f t="shared" si="7"/>
        <v>0</v>
      </c>
      <c r="K144" s="663">
        <f t="shared" si="7"/>
        <v>0</v>
      </c>
      <c r="L144" s="663">
        <f t="shared" si="7"/>
        <v>0</v>
      </c>
      <c r="M144" s="663">
        <f t="shared" si="7"/>
        <v>0</v>
      </c>
      <c r="N144" s="663">
        <f t="shared" si="7"/>
        <v>0</v>
      </c>
      <c r="O144" s="663">
        <f t="shared" si="7"/>
        <v>0</v>
      </c>
      <c r="P144" s="663">
        <f t="shared" si="7"/>
        <v>0</v>
      </c>
      <c r="Q144" s="663">
        <f>SUM(B144:P144)</f>
        <v>6.400966580826184</v>
      </c>
    </row>
    <row r="145" spans="1:17">
      <c r="A145" s="663" t="s">
        <v>109</v>
      </c>
      <c r="B145" s="663">
        <f t="shared" si="7"/>
        <v>1468.6113666437795</v>
      </c>
      <c r="C145" s="663">
        <f t="shared" si="7"/>
        <v>0</v>
      </c>
      <c r="D145" s="663">
        <f t="shared" si="7"/>
        <v>0</v>
      </c>
      <c r="E145" s="663">
        <f t="shared" si="7"/>
        <v>0</v>
      </c>
      <c r="F145" s="663">
        <f t="shared" si="7"/>
        <v>0</v>
      </c>
      <c r="G145" s="663">
        <f t="shared" si="7"/>
        <v>0</v>
      </c>
      <c r="H145" s="663">
        <f t="shared" si="7"/>
        <v>0</v>
      </c>
      <c r="I145" s="663">
        <f t="shared" si="7"/>
        <v>0</v>
      </c>
      <c r="J145" s="663">
        <f t="shared" si="7"/>
        <v>0</v>
      </c>
      <c r="K145" s="663">
        <f t="shared" si="7"/>
        <v>0</v>
      </c>
      <c r="L145" s="663">
        <f t="shared" si="7"/>
        <v>0</v>
      </c>
      <c r="M145" s="663">
        <f t="shared" si="7"/>
        <v>0</v>
      </c>
      <c r="N145" s="663">
        <f t="shared" si="7"/>
        <v>0</v>
      </c>
      <c r="O145" s="663">
        <f t="shared" si="7"/>
        <v>0</v>
      </c>
      <c r="P145" s="663">
        <f t="shared" si="7"/>
        <v>0</v>
      </c>
      <c r="Q145" s="663">
        <f>SUM(B145:P145)</f>
        <v>1468.6113666437795</v>
      </c>
    </row>
    <row r="146" spans="1:17">
      <c r="A146" s="669"/>
      <c r="B146" s="669"/>
      <c r="C146" s="669"/>
      <c r="D146" s="669"/>
      <c r="E146" s="669"/>
      <c r="F146" s="669"/>
      <c r="G146" s="669"/>
      <c r="H146" s="669"/>
      <c r="I146" s="669"/>
      <c r="J146" s="669"/>
      <c r="K146" s="669"/>
      <c r="L146" s="669"/>
      <c r="M146" s="669"/>
      <c r="N146" s="669"/>
      <c r="O146" s="669"/>
      <c r="P146" s="669"/>
      <c r="Q146" s="669"/>
    </row>
  </sheetData>
  <sheetProtection password="849B" sheet="1" objects="1" scenarios="1"/>
  <mergeCells count="28">
    <mergeCell ref="A140:A142"/>
    <mergeCell ref="B140:Q140"/>
    <mergeCell ref="B141:B142"/>
    <mergeCell ref="C141:C142"/>
    <mergeCell ref="D141:K141"/>
    <mergeCell ref="L141:P141"/>
    <mergeCell ref="Q141:Q142"/>
    <mergeCell ref="A128:A130"/>
    <mergeCell ref="B128:Q128"/>
    <mergeCell ref="B129:B130"/>
    <mergeCell ref="C129:C130"/>
    <mergeCell ref="D129:K129"/>
    <mergeCell ref="L129:P129"/>
    <mergeCell ref="Q129:Q130"/>
    <mergeCell ref="A91:A93"/>
    <mergeCell ref="B91:Q91"/>
    <mergeCell ref="B92:B93"/>
    <mergeCell ref="C92:C93"/>
    <mergeCell ref="D92:K92"/>
    <mergeCell ref="L92:P92"/>
    <mergeCell ref="Q92:Q93"/>
    <mergeCell ref="A74:A76"/>
    <mergeCell ref="B74:Q74"/>
    <mergeCell ref="B75:B76"/>
    <mergeCell ref="C75:C76"/>
    <mergeCell ref="D75:K75"/>
    <mergeCell ref="L75:P75"/>
    <mergeCell ref="Q75:Q76"/>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sheetPr>
  <dimension ref="A1:C10"/>
  <sheetViews>
    <sheetView showGridLines="0" workbookViewId="0">
      <selection activeCell="C1" sqref="C1"/>
    </sheetView>
  </sheetViews>
  <sheetFormatPr defaultRowHeight="15"/>
  <cols>
    <col min="1" max="1" width="34.140625" bestFit="1" customWidth="1"/>
    <col min="2" max="2" width="90.140625" customWidth="1"/>
    <col min="3" max="3" width="93" customWidth="1"/>
  </cols>
  <sheetData>
    <row r="1" spans="1:3" s="1" customFormat="1" ht="54.75" customHeight="1">
      <c r="A1" s="185" t="s">
        <v>86</v>
      </c>
      <c r="B1" s="67"/>
      <c r="C1" s="68"/>
    </row>
    <row r="2" spans="1:3" s="2" customFormat="1" ht="15.75">
      <c r="A2" s="42"/>
      <c r="B2" s="18"/>
      <c r="C2" s="43"/>
    </row>
    <row r="3" spans="1:3">
      <c r="A3" s="35" t="s">
        <v>79</v>
      </c>
      <c r="B3" s="17" t="s">
        <v>85</v>
      </c>
      <c r="C3" s="44" t="s">
        <v>84</v>
      </c>
    </row>
    <row r="4" spans="1:3">
      <c r="A4" s="69"/>
      <c r="B4" s="5"/>
      <c r="C4" s="38"/>
    </row>
    <row r="5" spans="1:3" s="190" customFormat="1">
      <c r="A5" s="481" t="s">
        <v>186</v>
      </c>
      <c r="B5" s="484" t="s">
        <v>640</v>
      </c>
      <c r="C5" s="485" t="s">
        <v>691</v>
      </c>
    </row>
    <row r="6" spans="1:3">
      <c r="A6" s="483"/>
      <c r="B6" s="486"/>
      <c r="C6" s="487"/>
    </row>
    <row r="7" spans="1:3" s="195" customFormat="1">
      <c r="A7" s="481" t="s">
        <v>248</v>
      </c>
      <c r="B7" s="488" t="s">
        <v>254</v>
      </c>
      <c r="C7" s="489" t="s">
        <v>692</v>
      </c>
    </row>
    <row r="8" spans="1:3">
      <c r="A8" s="194"/>
      <c r="B8" s="192"/>
      <c r="C8" s="193"/>
    </row>
    <row r="9" spans="1:3" s="190" customFormat="1" ht="21">
      <c r="A9" s="187" t="s">
        <v>639</v>
      </c>
      <c r="B9" s="188"/>
      <c r="C9" s="189"/>
    </row>
    <row r="10" spans="1:3">
      <c r="A10" s="15"/>
      <c r="C10" s="27"/>
    </row>
  </sheetData>
  <sheetProtection password="849B" sheet="1" objects="1" scenarios="1"/>
  <hyperlinks>
    <hyperlink ref="A5" location="'Nulmeting 2011'!A1" display="Nulmeting 2011"/>
    <hyperlink ref="A7" location="'data '!A1" display="data"/>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8"/>
  </sheetPr>
  <dimension ref="A1:T76"/>
  <sheetViews>
    <sheetView showGridLines="0" zoomScaleNormal="100" workbookViewId="0">
      <selection sqref="A1:XFD1048576"/>
    </sheetView>
  </sheetViews>
  <sheetFormatPr defaultColWidth="9.140625" defaultRowHeight="15"/>
  <cols>
    <col min="1" max="1" width="76.85546875" style="254" customWidth="1"/>
    <col min="2" max="2" width="24.85546875" style="290" bestFit="1" customWidth="1"/>
    <col min="3" max="3" width="16.140625" style="290" bestFit="1" customWidth="1"/>
    <col min="4" max="4" width="15.140625" style="290" bestFit="1" customWidth="1"/>
    <col min="5" max="5" width="12.85546875" style="290" customWidth="1"/>
    <col min="6" max="6" width="11.140625" style="290" bestFit="1" customWidth="1"/>
    <col min="7" max="8" width="15.140625" style="290" bestFit="1" customWidth="1"/>
    <col min="9" max="10" width="17.42578125" style="290" bestFit="1" customWidth="1"/>
    <col min="11" max="11" width="29.5703125" style="290" bestFit="1" customWidth="1"/>
    <col min="12" max="12" width="22.140625" style="290" customWidth="1"/>
    <col min="13" max="13" width="11.7109375" style="290" bestFit="1" customWidth="1"/>
    <col min="14" max="14" width="10.7109375" style="290" bestFit="1" customWidth="1"/>
    <col min="15" max="16" width="11.42578125" style="290" bestFit="1" customWidth="1"/>
    <col min="17" max="17" width="17.28515625" style="290" customWidth="1"/>
    <col min="18" max="20" width="9.140625" style="290"/>
    <col min="21" max="16384" width="9.140625" style="254"/>
  </cols>
  <sheetData>
    <row r="1" spans="1:20">
      <c r="A1" s="254" t="s">
        <v>429</v>
      </c>
      <c r="B1" s="290" t="s">
        <v>430</v>
      </c>
    </row>
    <row r="2" spans="1:20">
      <c r="A2" s="304"/>
      <c r="B2" s="304" t="s">
        <v>2</v>
      </c>
      <c r="C2" s="290" t="s">
        <v>31</v>
      </c>
      <c r="D2" s="290" t="s">
        <v>32</v>
      </c>
      <c r="I2" s="314"/>
      <c r="J2" s="314"/>
      <c r="L2" s="290" t="s">
        <v>33</v>
      </c>
    </row>
    <row r="3" spans="1:20" ht="45">
      <c r="A3" s="291"/>
      <c r="B3" s="291"/>
      <c r="C3" s="291"/>
      <c r="D3" s="291" t="s">
        <v>34</v>
      </c>
      <c r="E3" s="291" t="s">
        <v>35</v>
      </c>
      <c r="F3" s="291" t="s">
        <v>36</v>
      </c>
      <c r="G3" s="291" t="s">
        <v>37</v>
      </c>
      <c r="H3" s="291" t="s">
        <v>29</v>
      </c>
      <c r="I3" s="291" t="s">
        <v>38</v>
      </c>
      <c r="J3" s="291" t="s">
        <v>39</v>
      </c>
      <c r="K3" s="291" t="s">
        <v>40</v>
      </c>
      <c r="L3" s="291" t="s">
        <v>41</v>
      </c>
      <c r="M3" s="291" t="s">
        <v>42</v>
      </c>
      <c r="N3" s="291" t="s">
        <v>43</v>
      </c>
      <c r="O3" s="291" t="s">
        <v>44</v>
      </c>
      <c r="P3" s="291" t="s">
        <v>45</v>
      </c>
      <c r="Q3" s="291" t="s">
        <v>27</v>
      </c>
    </row>
    <row r="4" spans="1:20">
      <c r="A4" s="292" t="s">
        <v>431</v>
      </c>
      <c r="B4" s="290">
        <v>37450.698305203099</v>
      </c>
      <c r="C4" s="290">
        <v>0</v>
      </c>
      <c r="D4" s="290">
        <v>126041.54106442082</v>
      </c>
      <c r="E4" s="290">
        <v>710.59664248632873</v>
      </c>
      <c r="F4" s="290">
        <v>12965.277392357542</v>
      </c>
      <c r="G4" s="290">
        <v>0</v>
      </c>
      <c r="H4" s="290">
        <v>0</v>
      </c>
      <c r="I4" s="290">
        <v>0</v>
      </c>
      <c r="J4" s="290">
        <v>0</v>
      </c>
      <c r="K4" s="290">
        <v>0</v>
      </c>
      <c r="L4" s="290">
        <v>0</v>
      </c>
      <c r="M4" s="290">
        <v>0</v>
      </c>
      <c r="N4" s="290">
        <v>4240.4994311859937</v>
      </c>
      <c r="O4" s="290">
        <v>85.983333333333334</v>
      </c>
      <c r="P4" s="290">
        <v>0</v>
      </c>
      <c r="Q4" s="290">
        <v>181494.5961689871</v>
      </c>
    </row>
    <row r="5" spans="1:20">
      <c r="A5" s="299" t="s">
        <v>432</v>
      </c>
      <c r="B5" s="315">
        <v>27824.135442457016</v>
      </c>
      <c r="C5" s="315">
        <v>0</v>
      </c>
      <c r="D5" s="315">
        <v>36858.708666211503</v>
      </c>
      <c r="E5" s="315">
        <v>541.09072511852162</v>
      </c>
      <c r="F5" s="315">
        <v>5515.0611170163829</v>
      </c>
      <c r="G5" s="315">
        <v>0</v>
      </c>
      <c r="H5" s="315">
        <v>0</v>
      </c>
      <c r="I5" s="315">
        <v>0</v>
      </c>
      <c r="J5" s="315">
        <v>0</v>
      </c>
      <c r="K5" s="315">
        <v>0</v>
      </c>
      <c r="L5" s="315">
        <v>0</v>
      </c>
      <c r="M5" s="315">
        <v>0</v>
      </c>
      <c r="N5" s="315">
        <v>515.58947484055921</v>
      </c>
      <c r="O5" s="315">
        <v>1.5633333333333335</v>
      </c>
      <c r="P5" s="315">
        <v>0</v>
      </c>
      <c r="Q5" s="315">
        <v>71256.148758977317</v>
      </c>
    </row>
    <row r="6" spans="1:20" ht="15.75" customHeight="1">
      <c r="A6" s="299" t="s">
        <v>433</v>
      </c>
      <c r="B6" s="293">
        <v>12.993000000000052</v>
      </c>
      <c r="C6" s="293"/>
      <c r="D6" s="293"/>
      <c r="E6" s="293"/>
      <c r="F6" s="293"/>
      <c r="G6" s="293"/>
      <c r="H6" s="293"/>
      <c r="I6" s="293"/>
      <c r="J6" s="293"/>
      <c r="K6" s="293"/>
      <c r="L6" s="293"/>
      <c r="M6" s="293"/>
      <c r="N6" s="293"/>
      <c r="O6" s="293"/>
      <c r="P6" s="293"/>
      <c r="Q6" s="293">
        <v>12.993000000000052</v>
      </c>
    </row>
    <row r="7" spans="1:20" ht="15.75" customHeight="1">
      <c r="A7" s="299" t="s">
        <v>434</v>
      </c>
      <c r="B7" s="293">
        <v>174.20639361104381</v>
      </c>
      <c r="C7" s="293">
        <v>0</v>
      </c>
      <c r="D7" s="294">
        <v>6455.8248683048605</v>
      </c>
      <c r="E7" s="294">
        <v>1.8243270680410937</v>
      </c>
      <c r="F7" s="294">
        <v>894.75177547173803</v>
      </c>
      <c r="G7" s="294">
        <v>0</v>
      </c>
      <c r="H7" s="294">
        <v>0</v>
      </c>
      <c r="I7" s="294">
        <v>0</v>
      </c>
      <c r="J7" s="294">
        <v>15.558192388009759</v>
      </c>
      <c r="K7" s="294">
        <v>0</v>
      </c>
      <c r="L7" s="294">
        <v>0</v>
      </c>
      <c r="M7" s="294">
        <v>0</v>
      </c>
      <c r="N7" s="294">
        <v>0</v>
      </c>
      <c r="O7" s="294">
        <v>0</v>
      </c>
      <c r="P7" s="294">
        <v>0</v>
      </c>
      <c r="Q7" s="293">
        <v>7542.1655568436936</v>
      </c>
    </row>
    <row r="8" spans="1:20" ht="18.75" customHeight="1">
      <c r="A8" s="302" t="s">
        <v>435</v>
      </c>
      <c r="B8" s="295">
        <v>2087.9345772822685</v>
      </c>
      <c r="C8" s="295">
        <v>0</v>
      </c>
      <c r="D8" s="295">
        <v>322056.8081434943</v>
      </c>
      <c r="E8" s="295">
        <v>24.339969835937236</v>
      </c>
      <c r="F8" s="295">
        <v>858.79223362133735</v>
      </c>
      <c r="G8" s="295">
        <v>0</v>
      </c>
      <c r="H8" s="295">
        <v>0</v>
      </c>
      <c r="I8" s="295">
        <v>0</v>
      </c>
      <c r="J8" s="295">
        <v>6.0109829516180202</v>
      </c>
      <c r="K8" s="295">
        <v>0</v>
      </c>
      <c r="L8" s="295">
        <v>0</v>
      </c>
      <c r="M8" s="295">
        <v>0</v>
      </c>
      <c r="N8" s="295">
        <v>80.420311207402676</v>
      </c>
      <c r="O8" s="295">
        <v>0</v>
      </c>
      <c r="P8" s="295">
        <v>0</v>
      </c>
      <c r="Q8" s="296">
        <v>325114.30621839291</v>
      </c>
    </row>
    <row r="9" spans="1:20" s="297" customFormat="1">
      <c r="A9" s="297" t="s">
        <v>436</v>
      </c>
      <c r="B9" s="298">
        <v>8.8116273934525188E-2</v>
      </c>
      <c r="C9" s="298">
        <v>0</v>
      </c>
      <c r="D9" s="298">
        <v>0.81730772719880651</v>
      </c>
      <c r="E9" s="298">
        <v>357.59391536594677</v>
      </c>
      <c r="F9" s="298">
        <v>0</v>
      </c>
      <c r="G9" s="298">
        <v>45868.458128061393</v>
      </c>
      <c r="H9" s="298">
        <v>9397.6910100153455</v>
      </c>
      <c r="I9" s="298">
        <v>0</v>
      </c>
      <c r="J9" s="298">
        <v>0</v>
      </c>
      <c r="K9" s="298">
        <v>0</v>
      </c>
      <c r="L9" s="298">
        <v>0</v>
      </c>
      <c r="M9" s="298">
        <v>2277.2376523888015</v>
      </c>
      <c r="N9" s="298">
        <v>0</v>
      </c>
      <c r="O9" s="298">
        <v>0</v>
      </c>
      <c r="P9" s="298">
        <v>0</v>
      </c>
      <c r="Q9" s="298">
        <v>57901.886129832623</v>
      </c>
      <c r="R9" s="296"/>
      <c r="S9" s="296"/>
      <c r="T9" s="296"/>
    </row>
    <row r="10" spans="1:20" s="297" customFormat="1">
      <c r="A10" s="299" t="s">
        <v>437</v>
      </c>
      <c r="B10" s="298">
        <v>1414.5300829497046</v>
      </c>
      <c r="C10" s="298">
        <v>0</v>
      </c>
      <c r="D10" s="298">
        <v>0</v>
      </c>
      <c r="E10" s="298">
        <v>0</v>
      </c>
      <c r="F10" s="298">
        <v>0</v>
      </c>
      <c r="G10" s="298">
        <v>732.84836028957807</v>
      </c>
      <c r="H10" s="298">
        <v>0</v>
      </c>
      <c r="I10" s="298">
        <v>0</v>
      </c>
      <c r="J10" s="298">
        <v>0</v>
      </c>
      <c r="K10" s="298">
        <v>0</v>
      </c>
      <c r="L10" s="298">
        <v>0</v>
      </c>
      <c r="M10" s="298">
        <v>42.036371485295788</v>
      </c>
      <c r="N10" s="298">
        <v>0</v>
      </c>
      <c r="O10" s="298">
        <v>0</v>
      </c>
      <c r="P10" s="298">
        <v>0</v>
      </c>
      <c r="Q10" s="298">
        <v>2189.4148147245783</v>
      </c>
      <c r="R10" s="296"/>
      <c r="S10" s="296"/>
      <c r="T10" s="296"/>
    </row>
    <row r="11" spans="1:20" s="297" customFormat="1">
      <c r="A11" s="297" t="s">
        <v>438</v>
      </c>
      <c r="B11" s="298">
        <v>1737.6089999999999</v>
      </c>
      <c r="C11" s="298">
        <v>0</v>
      </c>
      <c r="D11" s="298">
        <v>6528.5060000000003</v>
      </c>
      <c r="E11" s="298">
        <v>0</v>
      </c>
      <c r="F11" s="298">
        <v>302.08058675036102</v>
      </c>
      <c r="G11" s="298">
        <v>0</v>
      </c>
      <c r="H11" s="298">
        <v>0</v>
      </c>
      <c r="I11" s="298">
        <v>0</v>
      </c>
      <c r="J11" s="298">
        <v>0</v>
      </c>
      <c r="K11" s="298">
        <v>0</v>
      </c>
      <c r="L11" s="298">
        <v>0</v>
      </c>
      <c r="M11" s="298">
        <v>0</v>
      </c>
      <c r="N11" s="298">
        <v>0</v>
      </c>
      <c r="O11" s="298">
        <v>0</v>
      </c>
      <c r="P11" s="298">
        <v>0</v>
      </c>
      <c r="Q11" s="298">
        <v>8568.1955867503602</v>
      </c>
      <c r="R11" s="296"/>
      <c r="S11" s="296"/>
      <c r="T11" s="296"/>
    </row>
    <row r="12" spans="1:20" s="297" customFormat="1">
      <c r="A12" s="297" t="s">
        <v>439</v>
      </c>
      <c r="B12" s="298">
        <v>1015.888</v>
      </c>
      <c r="C12" s="298"/>
      <c r="D12" s="298"/>
      <c r="E12" s="298"/>
      <c r="F12" s="298"/>
      <c r="G12" s="298"/>
      <c r="H12" s="298"/>
      <c r="I12" s="298"/>
      <c r="J12" s="298"/>
      <c r="K12" s="298"/>
      <c r="L12" s="298"/>
      <c r="M12" s="298"/>
      <c r="N12" s="298"/>
      <c r="O12" s="298"/>
      <c r="P12" s="298"/>
      <c r="Q12" s="298">
        <v>1015.888</v>
      </c>
      <c r="R12" s="296"/>
      <c r="S12" s="296"/>
      <c r="T12" s="296"/>
    </row>
    <row r="13" spans="1:20" s="297" customFormat="1">
      <c r="A13" s="299" t="s">
        <v>440</v>
      </c>
      <c r="B13" s="298">
        <v>0</v>
      </c>
      <c r="C13" s="298">
        <v>0</v>
      </c>
      <c r="D13" s="298">
        <v>0</v>
      </c>
      <c r="E13" s="298">
        <v>56.267056850603758</v>
      </c>
      <c r="F13" s="298">
        <v>0</v>
      </c>
      <c r="G13" s="298">
        <v>327.88452098768346</v>
      </c>
      <c r="H13" s="298">
        <v>40.526913156461553</v>
      </c>
      <c r="I13" s="298">
        <v>0</v>
      </c>
      <c r="J13" s="298">
        <v>0</v>
      </c>
      <c r="K13" s="298">
        <v>0</v>
      </c>
      <c r="L13" s="298">
        <v>0</v>
      </c>
      <c r="M13" s="298">
        <v>0</v>
      </c>
      <c r="N13" s="298">
        <v>0</v>
      </c>
      <c r="O13" s="298">
        <v>0</v>
      </c>
      <c r="P13" s="298">
        <v>0</v>
      </c>
      <c r="Q13" s="298">
        <v>424.67849099474876</v>
      </c>
      <c r="R13" s="296"/>
      <c r="S13" s="296"/>
      <c r="T13" s="296"/>
    </row>
    <row r="14" spans="1:20" s="297" customFormat="1">
      <c r="A14" s="297" t="s">
        <v>441</v>
      </c>
      <c r="B14" s="298">
        <v>71718.082917777065</v>
      </c>
      <c r="C14" s="298">
        <v>0</v>
      </c>
      <c r="D14" s="298">
        <v>497942.20605015865</v>
      </c>
      <c r="E14" s="298">
        <v>1691.7126367253791</v>
      </c>
      <c r="F14" s="298">
        <v>20535.963105217365</v>
      </c>
      <c r="G14" s="298">
        <v>46929.191009338654</v>
      </c>
      <c r="H14" s="298">
        <v>9438.2179231718073</v>
      </c>
      <c r="I14" s="298">
        <v>0</v>
      </c>
      <c r="J14" s="298">
        <v>21.56917533962778</v>
      </c>
      <c r="K14" s="298">
        <v>0</v>
      </c>
      <c r="L14" s="298">
        <v>0</v>
      </c>
      <c r="M14" s="298">
        <v>2319.2740238740971</v>
      </c>
      <c r="N14" s="298">
        <v>4836.5092172339555</v>
      </c>
      <c r="O14" s="298">
        <v>87.546666666666667</v>
      </c>
      <c r="P14" s="298">
        <v>0</v>
      </c>
      <c r="Q14" s="298">
        <v>655520.27272550331</v>
      </c>
      <c r="R14" s="296"/>
      <c r="S14" s="296"/>
      <c r="T14" s="296"/>
    </row>
    <row r="15" spans="1:20" s="297" customFormat="1">
      <c r="B15" s="295"/>
      <c r="C15" s="295"/>
      <c r="D15" s="295"/>
      <c r="E15" s="295"/>
      <c r="F15" s="295"/>
      <c r="G15" s="295"/>
      <c r="H15" s="295"/>
      <c r="I15" s="295"/>
      <c r="J15" s="295"/>
      <c r="K15" s="295"/>
      <c r="L15" s="295"/>
      <c r="M15" s="295"/>
      <c r="N15" s="295"/>
      <c r="O15" s="295"/>
      <c r="P15" s="295"/>
      <c r="Q15" s="296"/>
      <c r="R15" s="296"/>
      <c r="S15" s="296"/>
      <c r="T15" s="296"/>
    </row>
    <row r="16" spans="1:20" s="297" customFormat="1">
      <c r="A16" s="297" t="s">
        <v>442</v>
      </c>
      <c r="B16" s="298">
        <v>0.20531165224649006</v>
      </c>
      <c r="C16" s="298">
        <v>0</v>
      </c>
      <c r="D16" s="298">
        <v>0.20200000000000001</v>
      </c>
      <c r="E16" s="298">
        <v>0.22700000000000001</v>
      </c>
      <c r="F16" s="298">
        <v>0.26700000000000002</v>
      </c>
      <c r="G16" s="298">
        <v>0.26700000000000002</v>
      </c>
      <c r="H16" s="298">
        <v>0.249</v>
      </c>
      <c r="I16" s="298">
        <v>0.35099999999999998</v>
      </c>
      <c r="J16" s="298">
        <v>0.35399999999999998</v>
      </c>
      <c r="K16" s="298">
        <v>0.26400000000000001</v>
      </c>
      <c r="L16" s="298">
        <v>0</v>
      </c>
      <c r="M16" s="298">
        <v>0</v>
      </c>
      <c r="N16" s="298">
        <v>0</v>
      </c>
      <c r="O16" s="298">
        <v>0</v>
      </c>
      <c r="P16" s="298">
        <v>0</v>
      </c>
      <c r="Q16" s="298"/>
      <c r="R16" s="296"/>
      <c r="S16" s="296"/>
      <c r="T16" s="296"/>
    </row>
    <row r="17" spans="1:20" s="297" customFormat="1">
      <c r="B17" s="298"/>
      <c r="C17" s="298"/>
      <c r="D17" s="298"/>
      <c r="E17" s="298"/>
      <c r="F17" s="298"/>
      <c r="G17" s="298"/>
      <c r="H17" s="298"/>
      <c r="I17" s="298"/>
      <c r="J17" s="298"/>
      <c r="K17" s="298"/>
      <c r="L17" s="298"/>
      <c r="M17" s="298"/>
      <c r="N17" s="298"/>
      <c r="O17" s="298"/>
      <c r="P17" s="298"/>
      <c r="Q17" s="298"/>
      <c r="R17" s="296"/>
      <c r="S17" s="296"/>
      <c r="T17" s="296"/>
    </row>
    <row r="18" spans="1:20" s="297" customFormat="1">
      <c r="A18" s="297" t="s">
        <v>448</v>
      </c>
      <c r="B18" s="298" t="s">
        <v>446</v>
      </c>
      <c r="C18" s="298"/>
      <c r="D18" s="298"/>
      <c r="E18" s="298"/>
      <c r="F18" s="298"/>
      <c r="G18" s="298"/>
      <c r="H18" s="298"/>
      <c r="I18" s="298"/>
      <c r="J18" s="298"/>
      <c r="K18" s="298"/>
      <c r="L18" s="298"/>
      <c r="M18" s="298"/>
      <c r="N18" s="298"/>
      <c r="O18" s="298"/>
      <c r="P18" s="298"/>
      <c r="Q18" s="298"/>
      <c r="R18" s="296"/>
      <c r="S18" s="296"/>
      <c r="T18" s="296"/>
    </row>
    <row r="19" spans="1:20" s="297" customFormat="1">
      <c r="B19" s="298" t="s">
        <v>2</v>
      </c>
      <c r="C19" s="298" t="s">
        <v>31</v>
      </c>
      <c r="D19" s="298" t="s">
        <v>32</v>
      </c>
      <c r="E19" s="298"/>
      <c r="F19" s="298"/>
      <c r="G19" s="298"/>
      <c r="H19" s="298"/>
      <c r="I19" s="298"/>
      <c r="J19" s="298"/>
      <c r="K19" s="298"/>
      <c r="L19" s="298" t="s">
        <v>33</v>
      </c>
      <c r="M19" s="298"/>
      <c r="N19" s="298"/>
      <c r="O19" s="298"/>
      <c r="P19" s="298"/>
      <c r="Q19" s="298"/>
      <c r="R19" s="296"/>
      <c r="S19" s="296"/>
      <c r="T19" s="296"/>
    </row>
    <row r="20" spans="1:20" s="297" customFormat="1">
      <c r="B20" s="298"/>
      <c r="C20" s="298"/>
      <c r="D20" s="298" t="s">
        <v>34</v>
      </c>
      <c r="E20" s="298" t="s">
        <v>35</v>
      </c>
      <c r="F20" s="298" t="s">
        <v>36</v>
      </c>
      <c r="G20" s="298" t="s">
        <v>37</v>
      </c>
      <c r="H20" s="298" t="s">
        <v>29</v>
      </c>
      <c r="I20" s="298" t="s">
        <v>38</v>
      </c>
      <c r="J20" s="298" t="s">
        <v>39</v>
      </c>
      <c r="K20" s="298" t="s">
        <v>40</v>
      </c>
      <c r="L20" s="298" t="s">
        <v>41</v>
      </c>
      <c r="M20" s="298" t="s">
        <v>42</v>
      </c>
      <c r="N20" s="298" t="s">
        <v>43</v>
      </c>
      <c r="O20" s="298" t="s">
        <v>44</v>
      </c>
      <c r="P20" s="298" t="s">
        <v>45</v>
      </c>
      <c r="Q20" s="298" t="s">
        <v>27</v>
      </c>
      <c r="R20" s="296"/>
      <c r="S20" s="296"/>
      <c r="T20" s="296"/>
    </row>
    <row r="21" spans="1:20">
      <c r="A21" s="302" t="s">
        <v>431</v>
      </c>
      <c r="B21" s="296">
        <v>7689.0647468260731</v>
      </c>
      <c r="C21" s="296">
        <v>0</v>
      </c>
      <c r="D21" s="296">
        <v>25460.391295013007</v>
      </c>
      <c r="E21" s="296">
        <v>161.30543784439664</v>
      </c>
      <c r="F21" s="296">
        <v>3461.7290637594642</v>
      </c>
      <c r="G21" s="296">
        <v>0</v>
      </c>
      <c r="H21" s="296">
        <v>0</v>
      </c>
      <c r="I21" s="296">
        <v>0</v>
      </c>
      <c r="J21" s="296">
        <v>0</v>
      </c>
      <c r="K21" s="296">
        <v>0</v>
      </c>
      <c r="L21" s="296">
        <v>0</v>
      </c>
      <c r="M21" s="296">
        <v>0</v>
      </c>
      <c r="N21" s="296">
        <v>0</v>
      </c>
      <c r="O21" s="296">
        <v>0</v>
      </c>
      <c r="P21" s="296">
        <v>0</v>
      </c>
      <c r="Q21" s="296">
        <v>36772.490543442946</v>
      </c>
    </row>
    <row r="22" spans="1:20">
      <c r="A22" s="300" t="s">
        <v>432</v>
      </c>
      <c r="B22" s="298">
        <v>5712.6192200209734</v>
      </c>
      <c r="C22" s="290">
        <v>0</v>
      </c>
      <c r="D22" s="290">
        <v>7445.4591505747239</v>
      </c>
      <c r="E22" s="290">
        <v>122.82759460190441</v>
      </c>
      <c r="F22" s="290">
        <v>1472.5213182433743</v>
      </c>
      <c r="G22" s="290">
        <v>0</v>
      </c>
      <c r="H22" s="290">
        <v>0</v>
      </c>
      <c r="I22" s="290">
        <v>0</v>
      </c>
      <c r="J22" s="290">
        <v>0</v>
      </c>
      <c r="K22" s="290">
        <v>0</v>
      </c>
      <c r="L22" s="290">
        <v>0</v>
      </c>
      <c r="M22" s="290">
        <v>0</v>
      </c>
      <c r="N22" s="290">
        <v>0</v>
      </c>
      <c r="O22" s="290">
        <v>0</v>
      </c>
      <c r="P22" s="290">
        <v>0</v>
      </c>
      <c r="Q22" s="290">
        <v>14753.427283440975</v>
      </c>
    </row>
    <row r="23" spans="1:20">
      <c r="A23" s="301" t="s">
        <v>433</v>
      </c>
      <c r="B23" s="298">
        <v>2.6676142976386559</v>
      </c>
      <c r="C23" s="290">
        <v>0</v>
      </c>
      <c r="D23" s="290">
        <v>0</v>
      </c>
      <c r="E23" s="290">
        <v>0</v>
      </c>
      <c r="F23" s="290">
        <v>0</v>
      </c>
      <c r="G23" s="290">
        <v>0</v>
      </c>
      <c r="H23" s="290">
        <v>0</v>
      </c>
      <c r="I23" s="290">
        <v>0</v>
      </c>
      <c r="J23" s="290">
        <v>0</v>
      </c>
      <c r="K23" s="290">
        <v>0</v>
      </c>
      <c r="L23" s="290">
        <v>0</v>
      </c>
      <c r="M23" s="290">
        <v>0</v>
      </c>
      <c r="N23" s="290">
        <v>0</v>
      </c>
      <c r="O23" s="290">
        <v>0</v>
      </c>
      <c r="P23" s="290">
        <v>0</v>
      </c>
      <c r="Q23" s="290">
        <v>2.6676142976386559</v>
      </c>
    </row>
    <row r="24" spans="1:20">
      <c r="A24" s="302" t="s">
        <v>434</v>
      </c>
      <c r="B24" s="302">
        <v>35.766602504185798</v>
      </c>
      <c r="C24" s="290">
        <v>0</v>
      </c>
      <c r="D24" s="290">
        <v>1304.0766233975819</v>
      </c>
      <c r="E24" s="290">
        <v>0.4141222444453283</v>
      </c>
      <c r="F24" s="290">
        <v>238.89872405095406</v>
      </c>
      <c r="G24" s="290">
        <v>0</v>
      </c>
      <c r="H24" s="290">
        <v>0</v>
      </c>
      <c r="I24" s="290">
        <v>0</v>
      </c>
      <c r="J24" s="290">
        <v>5.5076001053554542</v>
      </c>
      <c r="K24" s="290">
        <v>0</v>
      </c>
      <c r="L24" s="290">
        <v>0</v>
      </c>
      <c r="M24" s="290">
        <v>0</v>
      </c>
      <c r="N24" s="290">
        <v>0</v>
      </c>
      <c r="O24" s="290">
        <v>0</v>
      </c>
      <c r="P24" s="290">
        <v>0</v>
      </c>
      <c r="Q24" s="290">
        <v>1584.6636723025226</v>
      </c>
    </row>
    <row r="25" spans="1:20">
      <c r="A25" s="312" t="s">
        <v>435</v>
      </c>
      <c r="B25" s="290">
        <v>428.67729784439933</v>
      </c>
      <c r="C25" s="290">
        <v>0</v>
      </c>
      <c r="D25" s="290">
        <v>65055.47524498585</v>
      </c>
      <c r="E25" s="290">
        <v>5.5251731527577528</v>
      </c>
      <c r="F25" s="290">
        <v>229.29752637689708</v>
      </c>
      <c r="G25" s="290">
        <v>0</v>
      </c>
      <c r="H25" s="290">
        <v>0</v>
      </c>
      <c r="I25" s="290">
        <v>0</v>
      </c>
      <c r="J25" s="290">
        <v>2.1278879648727789</v>
      </c>
      <c r="K25" s="290">
        <v>0</v>
      </c>
      <c r="L25" s="290">
        <v>0</v>
      </c>
      <c r="M25" s="290">
        <v>0</v>
      </c>
      <c r="N25" s="290">
        <v>0</v>
      </c>
      <c r="O25" s="290">
        <v>0</v>
      </c>
      <c r="P25" s="290">
        <v>0</v>
      </c>
      <c r="Q25" s="290">
        <v>65721.103130324787</v>
      </c>
    </row>
    <row r="26" spans="1:20">
      <c r="A26" s="291" t="s">
        <v>436</v>
      </c>
      <c r="B26" s="291">
        <v>1.8091297791301694E-2</v>
      </c>
      <c r="C26" s="291">
        <v>0</v>
      </c>
      <c r="D26" s="291">
        <v>0.16509616089415893</v>
      </c>
      <c r="E26" s="291">
        <v>81.173818788069923</v>
      </c>
      <c r="F26" s="291">
        <v>0</v>
      </c>
      <c r="G26" s="291">
        <v>12246.878320192392</v>
      </c>
      <c r="H26" s="291">
        <v>2340.0250614938209</v>
      </c>
      <c r="I26" s="291">
        <v>0</v>
      </c>
      <c r="J26" s="291">
        <v>0</v>
      </c>
      <c r="K26" s="291">
        <v>0</v>
      </c>
      <c r="L26" s="291">
        <v>0</v>
      </c>
      <c r="M26" s="291">
        <v>0</v>
      </c>
      <c r="N26" s="291">
        <v>0</v>
      </c>
      <c r="O26" s="291">
        <v>0</v>
      </c>
      <c r="P26" s="291">
        <v>0</v>
      </c>
      <c r="Q26" s="291">
        <v>14668.260387932969</v>
      </c>
    </row>
    <row r="27" spans="1:20">
      <c r="A27" s="292" t="s">
        <v>437</v>
      </c>
      <c r="B27" s="290">
        <v>290.41950848276849</v>
      </c>
      <c r="C27" s="290">
        <v>0</v>
      </c>
      <c r="D27" s="290">
        <v>0</v>
      </c>
      <c r="E27" s="290">
        <v>0</v>
      </c>
      <c r="F27" s="290">
        <v>0</v>
      </c>
      <c r="G27" s="290">
        <v>195.67051219731735</v>
      </c>
      <c r="H27" s="290">
        <v>0</v>
      </c>
      <c r="I27" s="290">
        <v>0</v>
      </c>
      <c r="J27" s="290">
        <v>0</v>
      </c>
      <c r="K27" s="290">
        <v>0</v>
      </c>
      <c r="L27" s="290">
        <v>0</v>
      </c>
      <c r="M27" s="290">
        <v>0</v>
      </c>
      <c r="N27" s="290">
        <v>0</v>
      </c>
      <c r="O27" s="290">
        <v>0</v>
      </c>
      <c r="P27" s="290">
        <v>0</v>
      </c>
      <c r="Q27" s="290">
        <v>486.09002068008584</v>
      </c>
    </row>
    <row r="28" spans="1:20">
      <c r="A28" s="299" t="s">
        <v>438</v>
      </c>
      <c r="B28" s="315">
        <v>356.75137474837135</v>
      </c>
      <c r="C28" s="315">
        <v>0</v>
      </c>
      <c r="D28" s="315">
        <v>1318.7582120000002</v>
      </c>
      <c r="E28" s="315">
        <v>0</v>
      </c>
      <c r="F28" s="315">
        <v>80.6555166623464</v>
      </c>
      <c r="G28" s="315">
        <v>0</v>
      </c>
      <c r="H28" s="315">
        <v>0</v>
      </c>
      <c r="I28" s="315">
        <v>0</v>
      </c>
      <c r="J28" s="315">
        <v>0</v>
      </c>
      <c r="K28" s="315">
        <v>0</v>
      </c>
      <c r="L28" s="315">
        <v>0</v>
      </c>
      <c r="M28" s="315">
        <v>0</v>
      </c>
      <c r="N28" s="315">
        <v>0</v>
      </c>
      <c r="O28" s="315">
        <v>0</v>
      </c>
      <c r="P28" s="315">
        <v>0</v>
      </c>
      <c r="Q28" s="315">
        <v>1756.1651034107178</v>
      </c>
    </row>
    <row r="29" spans="1:20" ht="15.75" customHeight="1">
      <c r="A29" s="299" t="s">
        <v>439</v>
      </c>
      <c r="B29" s="293">
        <v>208.5736437773823</v>
      </c>
      <c r="C29" s="293">
        <v>0</v>
      </c>
      <c r="D29" s="293">
        <v>0</v>
      </c>
      <c r="E29" s="293">
        <v>0</v>
      </c>
      <c r="F29" s="293">
        <v>0</v>
      </c>
      <c r="G29" s="293">
        <v>0</v>
      </c>
      <c r="H29" s="293">
        <v>0</v>
      </c>
      <c r="I29" s="293">
        <v>0</v>
      </c>
      <c r="J29" s="293">
        <v>0</v>
      </c>
      <c r="K29" s="293">
        <v>0</v>
      </c>
      <c r="L29" s="293">
        <v>0</v>
      </c>
      <c r="M29" s="293">
        <v>0</v>
      </c>
      <c r="N29" s="293">
        <v>0</v>
      </c>
      <c r="O29" s="293">
        <v>0</v>
      </c>
      <c r="P29" s="293">
        <v>0</v>
      </c>
      <c r="Q29" s="293">
        <v>208.5736437773823</v>
      </c>
    </row>
    <row r="30" spans="1:20" ht="15.75" customHeight="1">
      <c r="A30" s="299" t="s">
        <v>440</v>
      </c>
      <c r="B30" s="293">
        <v>0</v>
      </c>
      <c r="C30" s="293">
        <v>0</v>
      </c>
      <c r="D30" s="294">
        <v>0</v>
      </c>
      <c r="E30" s="294">
        <v>12.772621905087053</v>
      </c>
      <c r="F30" s="294">
        <v>0</v>
      </c>
      <c r="G30" s="294">
        <v>87.545167103711492</v>
      </c>
      <c r="H30" s="294">
        <v>10.091201375958926</v>
      </c>
      <c r="I30" s="294">
        <v>0</v>
      </c>
      <c r="J30" s="294">
        <v>0</v>
      </c>
      <c r="K30" s="294">
        <v>0</v>
      </c>
      <c r="L30" s="294">
        <v>0</v>
      </c>
      <c r="M30" s="294">
        <v>0</v>
      </c>
      <c r="N30" s="294">
        <v>0</v>
      </c>
      <c r="O30" s="294">
        <v>0</v>
      </c>
      <c r="P30" s="294">
        <v>0</v>
      </c>
      <c r="Q30" s="293">
        <v>110.40899038475747</v>
      </c>
    </row>
    <row r="31" spans="1:20">
      <c r="A31" s="302" t="s">
        <v>441</v>
      </c>
      <c r="B31" s="296">
        <v>14724.558099799584</v>
      </c>
      <c r="C31" s="296">
        <v>0</v>
      </c>
      <c r="D31" s="296">
        <v>100584.32562213206</v>
      </c>
      <c r="E31" s="296">
        <v>384.01876853666113</v>
      </c>
      <c r="F31" s="296">
        <v>5483.1021490930361</v>
      </c>
      <c r="G31" s="296">
        <v>12530.093999493422</v>
      </c>
      <c r="H31" s="296">
        <v>2350.1162628697798</v>
      </c>
      <c r="I31" s="296">
        <v>0</v>
      </c>
      <c r="J31" s="296">
        <v>7.6354880702282326</v>
      </c>
      <c r="K31" s="296">
        <v>0</v>
      </c>
      <c r="L31" s="296">
        <v>0</v>
      </c>
      <c r="M31" s="296">
        <v>0</v>
      </c>
      <c r="N31" s="296">
        <v>0</v>
      </c>
      <c r="O31" s="296">
        <v>0</v>
      </c>
      <c r="P31" s="296">
        <v>0</v>
      </c>
      <c r="Q31" s="296">
        <v>136063.85038999474</v>
      </c>
    </row>
    <row r="32" spans="1:20">
      <c r="A32" s="302"/>
      <c r="B32" s="298"/>
      <c r="C32" s="298"/>
      <c r="D32" s="298"/>
      <c r="E32" s="298"/>
      <c r="F32" s="298"/>
      <c r="G32" s="298"/>
      <c r="H32" s="298"/>
      <c r="I32" s="298"/>
      <c r="J32" s="298"/>
      <c r="K32" s="298"/>
      <c r="L32" s="298"/>
      <c r="M32" s="298"/>
      <c r="N32" s="298"/>
      <c r="O32" s="298"/>
      <c r="P32" s="298"/>
      <c r="Q32" s="298"/>
    </row>
    <row r="33" spans="1:17">
      <c r="A33" s="303"/>
      <c r="B33" s="298"/>
      <c r="C33" s="298"/>
      <c r="D33" s="298"/>
      <c r="E33" s="298"/>
      <c r="F33" s="298"/>
      <c r="G33" s="298"/>
      <c r="H33" s="298"/>
      <c r="I33" s="298"/>
      <c r="J33" s="298"/>
      <c r="K33" s="298"/>
      <c r="L33" s="298"/>
      <c r="M33" s="298"/>
      <c r="N33" s="298"/>
      <c r="O33" s="298"/>
      <c r="P33" s="298"/>
      <c r="Q33" s="298"/>
    </row>
    <row r="34" spans="1:17">
      <c r="A34" s="302"/>
      <c r="B34" s="298"/>
      <c r="C34" s="298"/>
      <c r="D34" s="298"/>
      <c r="E34" s="298"/>
      <c r="F34" s="298"/>
      <c r="G34" s="298"/>
      <c r="H34" s="298"/>
      <c r="I34" s="298"/>
      <c r="J34" s="298"/>
      <c r="K34" s="298"/>
      <c r="L34" s="298"/>
      <c r="M34" s="298"/>
      <c r="N34" s="298"/>
      <c r="O34" s="298"/>
      <c r="P34" s="298"/>
      <c r="Q34" s="298"/>
    </row>
    <row r="35" spans="1:17">
      <c r="A35" s="302"/>
      <c r="B35" s="298"/>
      <c r="C35" s="298"/>
      <c r="D35" s="298"/>
      <c r="E35" s="298"/>
      <c r="F35" s="298"/>
      <c r="G35" s="298"/>
      <c r="H35" s="298"/>
      <c r="I35" s="298"/>
      <c r="J35" s="298"/>
      <c r="K35" s="298"/>
      <c r="L35" s="298"/>
      <c r="M35" s="298"/>
      <c r="N35" s="298"/>
      <c r="O35" s="298"/>
      <c r="P35" s="298"/>
      <c r="Q35" s="298"/>
    </row>
    <row r="36" spans="1:17">
      <c r="A36" s="304"/>
      <c r="B36" s="298"/>
      <c r="C36" s="298"/>
      <c r="D36" s="298"/>
      <c r="E36" s="298"/>
      <c r="F36" s="298"/>
      <c r="G36" s="298"/>
      <c r="H36" s="298"/>
      <c r="I36" s="298"/>
      <c r="J36" s="298"/>
      <c r="K36" s="298"/>
      <c r="L36" s="298"/>
      <c r="M36" s="298"/>
      <c r="N36" s="298"/>
      <c r="O36" s="298"/>
      <c r="P36" s="298"/>
      <c r="Q36" s="298"/>
    </row>
    <row r="37" spans="1:17">
      <c r="A37" s="302"/>
      <c r="B37" s="298"/>
      <c r="C37" s="298"/>
      <c r="D37" s="298"/>
      <c r="E37" s="298"/>
      <c r="F37" s="298"/>
      <c r="G37" s="298"/>
      <c r="H37" s="298"/>
      <c r="I37" s="298"/>
      <c r="J37" s="298"/>
      <c r="K37" s="298"/>
      <c r="L37" s="298"/>
      <c r="M37" s="298"/>
      <c r="N37" s="298"/>
      <c r="O37" s="298"/>
      <c r="P37" s="298"/>
      <c r="Q37" s="298"/>
    </row>
    <row r="38" spans="1:17">
      <c r="A38" s="297"/>
      <c r="B38" s="296"/>
      <c r="C38" s="296"/>
      <c r="D38" s="296"/>
      <c r="E38" s="296"/>
      <c r="F38" s="296"/>
      <c r="G38" s="296"/>
      <c r="H38" s="296"/>
      <c r="I38" s="296"/>
      <c r="J38" s="296"/>
      <c r="K38" s="296"/>
      <c r="L38" s="296"/>
      <c r="M38" s="296"/>
      <c r="N38" s="296"/>
      <c r="O38" s="296"/>
      <c r="P38" s="296"/>
      <c r="Q38" s="296"/>
    </row>
    <row r="39" spans="1:17">
      <c r="A39" s="302"/>
      <c r="B39" s="298"/>
      <c r="C39" s="298"/>
      <c r="D39" s="298"/>
      <c r="E39" s="298"/>
      <c r="F39" s="298"/>
      <c r="G39" s="298"/>
      <c r="H39" s="298"/>
      <c r="I39" s="298"/>
      <c r="J39" s="298"/>
      <c r="K39" s="298"/>
      <c r="L39" s="298"/>
      <c r="M39" s="298"/>
      <c r="N39" s="298"/>
      <c r="O39" s="298"/>
      <c r="P39" s="298"/>
      <c r="Q39" s="298"/>
    </row>
    <row r="40" spans="1:17">
      <c r="A40" s="302"/>
      <c r="B40" s="298"/>
      <c r="C40" s="298"/>
      <c r="D40" s="298"/>
      <c r="E40" s="298"/>
      <c r="F40" s="298"/>
      <c r="G40" s="298"/>
      <c r="H40" s="298"/>
      <c r="I40" s="298"/>
      <c r="J40" s="298"/>
      <c r="K40" s="298"/>
      <c r="L40" s="298"/>
      <c r="M40" s="298"/>
      <c r="N40" s="298"/>
      <c r="O40" s="298"/>
      <c r="P40" s="298"/>
      <c r="Q40" s="298"/>
    </row>
    <row r="41" spans="1:17">
      <c r="A41" s="302"/>
      <c r="B41" s="298"/>
      <c r="C41" s="298"/>
      <c r="D41" s="298"/>
      <c r="E41" s="298"/>
      <c r="F41" s="298"/>
      <c r="G41" s="298"/>
      <c r="H41" s="298"/>
      <c r="I41" s="298"/>
      <c r="J41" s="298"/>
      <c r="K41" s="298"/>
      <c r="L41" s="298"/>
      <c r="M41" s="298"/>
      <c r="N41" s="298"/>
      <c r="O41" s="298"/>
      <c r="P41" s="298"/>
      <c r="Q41" s="298"/>
    </row>
    <row r="42" spans="1:17">
      <c r="A42" s="302"/>
      <c r="B42" s="298"/>
      <c r="C42" s="298"/>
      <c r="D42" s="298"/>
      <c r="E42" s="298"/>
      <c r="F42" s="298"/>
      <c r="G42" s="298"/>
      <c r="H42" s="298"/>
      <c r="I42" s="298"/>
      <c r="J42" s="298"/>
      <c r="K42" s="298"/>
      <c r="L42" s="298"/>
      <c r="M42" s="298"/>
      <c r="N42" s="298"/>
      <c r="O42" s="298"/>
      <c r="P42" s="298"/>
      <c r="Q42" s="298"/>
    </row>
    <row r="43" spans="1:17">
      <c r="A43" s="297"/>
      <c r="B43" s="296"/>
      <c r="C43" s="296"/>
      <c r="D43" s="296"/>
      <c r="E43" s="296"/>
      <c r="F43" s="296"/>
      <c r="G43" s="296"/>
      <c r="H43" s="296"/>
      <c r="I43" s="296"/>
      <c r="J43" s="296"/>
      <c r="K43" s="296"/>
      <c r="L43" s="296"/>
      <c r="M43" s="296"/>
      <c r="N43" s="296"/>
      <c r="O43" s="296"/>
      <c r="P43" s="296"/>
      <c r="Q43" s="296"/>
    </row>
    <row r="44" spans="1:17">
      <c r="A44" s="297"/>
      <c r="B44" s="295"/>
      <c r="C44" s="295"/>
      <c r="D44" s="295"/>
      <c r="E44" s="295"/>
      <c r="F44" s="295"/>
      <c r="G44" s="295"/>
      <c r="H44" s="295"/>
      <c r="I44" s="295"/>
      <c r="J44" s="295"/>
      <c r="K44" s="295"/>
      <c r="L44" s="295"/>
      <c r="M44" s="295"/>
      <c r="N44" s="295"/>
      <c r="O44" s="295"/>
      <c r="P44" s="295"/>
      <c r="Q44" s="298"/>
    </row>
    <row r="45" spans="1:17">
      <c r="A45" s="297"/>
      <c r="B45" s="295"/>
      <c r="C45" s="295"/>
      <c r="D45" s="295"/>
      <c r="E45" s="295"/>
      <c r="F45" s="295"/>
      <c r="G45" s="295"/>
      <c r="H45" s="295"/>
      <c r="I45" s="295"/>
      <c r="J45" s="295"/>
      <c r="K45" s="295"/>
      <c r="L45" s="295"/>
      <c r="M45" s="295"/>
      <c r="N45" s="295"/>
      <c r="O45" s="295"/>
      <c r="P45" s="295"/>
      <c r="Q45" s="298"/>
    </row>
    <row r="46" spans="1:17">
      <c r="A46" s="305"/>
      <c r="B46" s="295"/>
      <c r="C46" s="295"/>
      <c r="D46" s="295"/>
      <c r="E46" s="295"/>
      <c r="F46" s="295"/>
      <c r="G46" s="295"/>
      <c r="H46" s="295"/>
      <c r="I46" s="295"/>
      <c r="J46" s="295"/>
      <c r="K46" s="295"/>
      <c r="L46" s="295"/>
      <c r="M46" s="295"/>
      <c r="N46" s="295"/>
      <c r="O46" s="295"/>
      <c r="P46" s="295"/>
      <c r="Q46" s="298"/>
    </row>
    <row r="47" spans="1:17">
      <c r="A47" s="302"/>
      <c r="B47" s="298"/>
      <c r="C47" s="298"/>
      <c r="D47" s="298"/>
      <c r="E47" s="298"/>
      <c r="F47" s="298"/>
      <c r="G47" s="298"/>
      <c r="H47" s="298"/>
      <c r="I47" s="298"/>
      <c r="J47" s="298"/>
      <c r="K47" s="298"/>
      <c r="L47" s="298"/>
      <c r="M47" s="298"/>
      <c r="N47" s="298"/>
      <c r="O47" s="298"/>
      <c r="P47" s="298"/>
      <c r="Q47" s="298"/>
    </row>
    <row r="48" spans="1:17">
      <c r="A48" s="312"/>
      <c r="B48" s="296"/>
      <c r="C48" s="296"/>
      <c r="D48" s="296"/>
      <c r="E48" s="296"/>
      <c r="F48" s="296"/>
      <c r="G48" s="296"/>
      <c r="H48" s="296"/>
      <c r="I48" s="296"/>
      <c r="J48" s="296"/>
      <c r="K48" s="296"/>
      <c r="L48" s="296"/>
      <c r="M48" s="296"/>
      <c r="N48" s="296"/>
      <c r="O48" s="296"/>
      <c r="P48" s="296"/>
      <c r="Q48" s="296"/>
    </row>
    <row r="49" spans="1:17">
      <c r="A49" s="312"/>
      <c r="B49" s="306"/>
      <c r="C49" s="306"/>
      <c r="D49" s="306"/>
      <c r="E49" s="306"/>
      <c r="F49" s="306"/>
      <c r="G49" s="306"/>
      <c r="H49" s="306"/>
      <c r="I49" s="306"/>
      <c r="J49" s="306"/>
      <c r="K49" s="306"/>
      <c r="L49" s="306"/>
      <c r="M49" s="306"/>
      <c r="N49" s="306"/>
      <c r="O49" s="306"/>
      <c r="P49" s="306"/>
      <c r="Q49" s="296"/>
    </row>
    <row r="50" spans="1:17">
      <c r="A50" s="304"/>
      <c r="B50" s="306"/>
      <c r="C50" s="296"/>
      <c r="D50" s="296"/>
      <c r="E50" s="296"/>
      <c r="F50" s="296"/>
      <c r="G50" s="296"/>
      <c r="H50" s="296"/>
      <c r="I50" s="296"/>
      <c r="J50" s="296"/>
      <c r="K50" s="296"/>
      <c r="L50" s="296"/>
      <c r="M50" s="296"/>
      <c r="N50" s="296"/>
      <c r="O50" s="296"/>
      <c r="P50" s="296"/>
      <c r="Q50" s="296"/>
    </row>
    <row r="51" spans="1:17">
      <c r="A51" s="302"/>
      <c r="B51" s="296"/>
      <c r="C51" s="296"/>
      <c r="D51" s="296"/>
      <c r="E51" s="296"/>
      <c r="F51" s="296"/>
      <c r="G51" s="296"/>
      <c r="H51" s="296"/>
      <c r="I51" s="296"/>
      <c r="J51" s="296"/>
      <c r="K51" s="296"/>
      <c r="L51" s="296"/>
      <c r="M51" s="296"/>
      <c r="N51" s="296"/>
      <c r="O51" s="296"/>
      <c r="P51" s="296"/>
      <c r="Q51" s="296"/>
    </row>
    <row r="52" spans="1:17">
      <c r="A52" s="302"/>
    </row>
    <row r="53" spans="1:17">
      <c r="A53" s="291"/>
      <c r="B53" s="291"/>
      <c r="C53" s="291"/>
      <c r="D53" s="291"/>
      <c r="E53" s="291"/>
      <c r="F53" s="291"/>
      <c r="G53" s="291"/>
      <c r="H53" s="291"/>
      <c r="I53" s="291"/>
      <c r="J53" s="291"/>
      <c r="K53" s="291"/>
      <c r="L53" s="291"/>
      <c r="M53" s="291"/>
      <c r="N53" s="291"/>
      <c r="O53" s="291"/>
      <c r="P53" s="291"/>
      <c r="Q53" s="307"/>
    </row>
    <row r="54" spans="1:17">
      <c r="A54" s="292"/>
    </row>
    <row r="55" spans="1:17">
      <c r="A55" s="299"/>
      <c r="B55" s="293"/>
      <c r="C55" s="295"/>
      <c r="D55" s="295"/>
      <c r="E55" s="295"/>
      <c r="F55" s="295"/>
      <c r="G55" s="295"/>
      <c r="H55" s="295"/>
      <c r="I55" s="295"/>
      <c r="J55" s="295"/>
      <c r="K55" s="295"/>
      <c r="L55" s="295"/>
      <c r="M55" s="295"/>
      <c r="N55" s="293"/>
      <c r="O55" s="293"/>
      <c r="P55" s="293"/>
    </row>
    <row r="56" spans="1:17">
      <c r="A56" s="299"/>
      <c r="B56" s="293"/>
      <c r="C56" s="293"/>
      <c r="D56" s="293"/>
      <c r="E56" s="293"/>
      <c r="F56" s="293"/>
      <c r="G56" s="293"/>
      <c r="H56" s="293"/>
      <c r="I56" s="293"/>
      <c r="J56" s="293"/>
      <c r="K56" s="293"/>
      <c r="L56" s="293"/>
      <c r="M56" s="293"/>
      <c r="N56" s="293"/>
      <c r="O56" s="293"/>
      <c r="P56" s="293"/>
    </row>
    <row r="57" spans="1:17">
      <c r="A57" s="299"/>
      <c r="B57" s="293"/>
      <c r="C57" s="294"/>
      <c r="D57" s="294"/>
      <c r="E57" s="294"/>
      <c r="F57" s="294"/>
      <c r="G57" s="294"/>
      <c r="H57" s="293"/>
      <c r="I57" s="293"/>
      <c r="J57" s="293"/>
      <c r="K57" s="293"/>
      <c r="L57" s="293"/>
      <c r="M57" s="293"/>
      <c r="N57" s="293"/>
      <c r="O57" s="293"/>
      <c r="P57" s="293"/>
    </row>
    <row r="58" spans="1:17">
      <c r="A58" s="308"/>
      <c r="B58" s="298"/>
      <c r="C58" s="295"/>
      <c r="D58" s="295"/>
      <c r="E58" s="295"/>
      <c r="F58" s="293"/>
      <c r="G58" s="295"/>
      <c r="H58" s="295"/>
      <c r="I58" s="295"/>
      <c r="J58" s="295"/>
      <c r="K58" s="295"/>
      <c r="L58" s="296"/>
      <c r="M58" s="295"/>
      <c r="N58" s="298"/>
      <c r="O58" s="309"/>
      <c r="P58" s="309"/>
    </row>
    <row r="59" spans="1:17">
      <c r="A59" s="308"/>
      <c r="B59" s="298"/>
      <c r="C59" s="295"/>
      <c r="D59" s="295"/>
      <c r="E59" s="295"/>
      <c r="F59" s="293"/>
      <c r="G59" s="295"/>
      <c r="H59" s="295"/>
      <c r="I59" s="295"/>
      <c r="J59" s="295"/>
      <c r="K59" s="295"/>
      <c r="L59" s="295"/>
      <c r="M59" s="295"/>
      <c r="N59" s="298"/>
      <c r="O59" s="309"/>
      <c r="P59" s="309"/>
    </row>
    <row r="60" spans="1:17">
      <c r="A60" s="308"/>
      <c r="B60" s="298"/>
      <c r="C60" s="295"/>
      <c r="D60" s="295"/>
      <c r="E60" s="295"/>
      <c r="F60" s="293"/>
      <c r="G60" s="295"/>
      <c r="H60" s="295"/>
      <c r="I60" s="295"/>
      <c r="J60" s="295"/>
      <c r="K60" s="295"/>
      <c r="L60" s="295"/>
      <c r="M60" s="295"/>
      <c r="N60" s="298"/>
      <c r="O60" s="309"/>
      <c r="P60" s="309"/>
    </row>
    <row r="61" spans="1:17">
      <c r="A61" s="308"/>
      <c r="B61" s="298"/>
      <c r="C61" s="298"/>
      <c r="D61" s="298"/>
      <c r="E61" s="298"/>
      <c r="F61" s="298"/>
      <c r="G61" s="298"/>
      <c r="H61" s="298"/>
      <c r="I61" s="298"/>
      <c r="J61" s="298"/>
      <c r="K61" s="298"/>
      <c r="L61" s="298"/>
      <c r="M61" s="298"/>
      <c r="N61" s="298"/>
      <c r="O61" s="310"/>
      <c r="P61" s="310"/>
    </row>
    <row r="62" spans="1:17">
      <c r="A62" s="311"/>
      <c r="B62" s="298"/>
      <c r="C62" s="298"/>
      <c r="D62" s="298"/>
      <c r="E62" s="298"/>
      <c r="F62" s="298"/>
      <c r="G62" s="298"/>
      <c r="H62" s="298"/>
      <c r="I62" s="298"/>
      <c r="J62" s="298"/>
      <c r="K62" s="298"/>
      <c r="L62" s="298"/>
      <c r="M62" s="298"/>
      <c r="N62" s="298"/>
      <c r="O62" s="310"/>
      <c r="P62" s="310"/>
    </row>
    <row r="63" spans="1:17">
      <c r="A63" s="308"/>
      <c r="B63" s="298"/>
      <c r="C63" s="298"/>
      <c r="D63" s="298"/>
      <c r="E63" s="298"/>
      <c r="F63" s="298"/>
      <c r="G63" s="298"/>
      <c r="H63" s="298"/>
      <c r="I63" s="298"/>
      <c r="J63" s="298"/>
      <c r="K63" s="298"/>
      <c r="L63" s="298"/>
      <c r="M63" s="298"/>
      <c r="N63" s="298"/>
      <c r="O63" s="296"/>
      <c r="P63" s="296"/>
    </row>
    <row r="64" spans="1:17">
      <c r="A64" s="312"/>
    </row>
    <row r="65" spans="1:17">
      <c r="A65" s="312"/>
    </row>
    <row r="66" spans="1:17">
      <c r="A66" s="292"/>
    </row>
    <row r="67" spans="1:17">
      <c r="A67" s="291"/>
      <c r="B67" s="291"/>
      <c r="C67" s="291"/>
      <c r="D67" s="291"/>
      <c r="E67" s="291"/>
      <c r="F67" s="291"/>
      <c r="G67" s="291"/>
      <c r="H67" s="291"/>
      <c r="I67" s="291"/>
      <c r="J67" s="291"/>
      <c r="K67" s="291"/>
      <c r="L67" s="291"/>
      <c r="M67" s="291"/>
      <c r="N67" s="291"/>
      <c r="O67" s="291"/>
      <c r="P67" s="307"/>
      <c r="Q67" s="307"/>
    </row>
    <row r="68" spans="1:17">
      <c r="A68" s="292"/>
    </row>
    <row r="69" spans="1:17">
      <c r="A69" s="299"/>
      <c r="B69" s="293"/>
      <c r="C69" s="295"/>
      <c r="D69" s="295"/>
      <c r="E69" s="295"/>
      <c r="F69" s="295"/>
      <c r="G69" s="295"/>
      <c r="H69" s="295"/>
      <c r="I69" s="295"/>
      <c r="J69" s="295"/>
      <c r="K69" s="295"/>
      <c r="L69" s="295"/>
      <c r="M69" s="293"/>
      <c r="N69" s="293"/>
      <c r="O69" s="293"/>
      <c r="P69" s="316"/>
    </row>
    <row r="70" spans="1:17">
      <c r="A70" s="299"/>
      <c r="B70" s="293"/>
      <c r="C70" s="293"/>
      <c r="D70" s="293"/>
      <c r="E70" s="293"/>
      <c r="F70" s="293"/>
      <c r="G70" s="293"/>
      <c r="H70" s="293"/>
      <c r="I70" s="293"/>
      <c r="J70" s="293"/>
      <c r="K70" s="293"/>
      <c r="L70" s="293"/>
      <c r="M70" s="293"/>
      <c r="N70" s="293"/>
      <c r="O70" s="293"/>
      <c r="P70" s="316"/>
    </row>
    <row r="71" spans="1:17">
      <c r="A71" s="299"/>
      <c r="B71" s="293"/>
      <c r="C71" s="294"/>
      <c r="D71" s="294"/>
      <c r="E71" s="294"/>
      <c r="F71" s="294"/>
      <c r="G71" s="294"/>
      <c r="H71" s="293"/>
      <c r="I71" s="293"/>
      <c r="J71" s="293"/>
      <c r="K71" s="293"/>
      <c r="L71" s="293"/>
      <c r="M71" s="293"/>
      <c r="N71" s="293"/>
      <c r="O71" s="293"/>
      <c r="P71" s="316"/>
    </row>
    <row r="72" spans="1:17">
      <c r="A72" s="313"/>
      <c r="B72" s="298"/>
      <c r="C72" s="298"/>
      <c r="D72" s="298"/>
      <c r="E72" s="298"/>
      <c r="F72" s="298"/>
      <c r="G72" s="298"/>
      <c r="H72" s="298"/>
      <c r="I72" s="298"/>
      <c r="J72" s="298"/>
      <c r="K72" s="298"/>
      <c r="L72" s="298"/>
      <c r="M72" s="298"/>
      <c r="N72" s="310"/>
      <c r="O72" s="310"/>
      <c r="P72" s="316"/>
    </row>
    <row r="73" spans="1:17">
      <c r="A73" s="313"/>
      <c r="B73" s="298"/>
      <c r="C73" s="298"/>
      <c r="D73" s="298"/>
      <c r="E73" s="298"/>
      <c r="F73" s="298"/>
      <c r="G73" s="298"/>
      <c r="H73" s="298"/>
      <c r="I73" s="298"/>
      <c r="J73" s="298"/>
      <c r="K73" s="298"/>
      <c r="L73" s="298"/>
      <c r="M73" s="298"/>
      <c r="N73" s="310"/>
      <c r="O73" s="310"/>
      <c r="P73" s="294"/>
    </row>
    <row r="74" spans="1:17">
      <c r="A74" s="311"/>
      <c r="B74" s="298"/>
      <c r="C74" s="298"/>
      <c r="D74" s="298"/>
      <c r="E74" s="298"/>
      <c r="F74" s="298"/>
      <c r="G74" s="298"/>
      <c r="H74" s="298"/>
      <c r="I74" s="298"/>
      <c r="J74" s="298"/>
      <c r="K74" s="298"/>
      <c r="L74" s="298"/>
      <c r="M74" s="298"/>
      <c r="N74" s="310"/>
      <c r="O74" s="310"/>
      <c r="P74" s="294"/>
    </row>
    <row r="75" spans="1:17">
      <c r="A75" s="313"/>
      <c r="B75" s="298"/>
      <c r="C75" s="298"/>
      <c r="D75" s="298"/>
      <c r="E75" s="298"/>
      <c r="F75" s="298"/>
      <c r="G75" s="298"/>
      <c r="H75" s="298"/>
      <c r="I75" s="298"/>
      <c r="J75" s="298"/>
      <c r="K75" s="298"/>
      <c r="L75" s="298"/>
      <c r="M75" s="298"/>
      <c r="N75" s="295"/>
      <c r="O75" s="295"/>
      <c r="P75" s="294"/>
    </row>
    <row r="76" spans="1:17">
      <c r="A76" s="31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17</vt:i4>
      </vt:variant>
    </vt:vector>
  </HeadingPairs>
  <TitlesOfParts>
    <vt:vector size="17" baseType="lpstr">
      <vt:lpstr>LEGENDE</vt:lpstr>
      <vt:lpstr>OUTPUT--&gt;</vt:lpstr>
      <vt:lpstr>BAU 2020</vt:lpstr>
      <vt:lpstr>MTRG HUISHOUDENS</vt:lpstr>
      <vt:lpstr>MTRG TERTIAIR</vt:lpstr>
      <vt:lpstr>MTRG TRANSPORT</vt:lpstr>
      <vt:lpstr>MTRG LOKALE ENERGIEPRODUCTIE</vt:lpstr>
      <vt:lpstr>INPUT--&gt;</vt:lpstr>
      <vt:lpstr>Nulmeting 2011</vt:lpstr>
      <vt:lpstr>data </vt:lpstr>
      <vt:lpstr>DATA--&gt;</vt:lpstr>
      <vt:lpstr>EF brandstof</vt:lpstr>
      <vt:lpstr>ECF transport </vt:lpstr>
      <vt:lpstr>groei toegevoegde waarde</vt:lpstr>
      <vt:lpstr>energieprijs en discontovoet</vt:lpstr>
      <vt:lpstr>BRONNEN --&gt;</vt:lpstr>
      <vt:lpstr>versiebeheer</vt:lpstr>
    </vt:vector>
  </TitlesOfParts>
  <Company>VITO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Aagje Geerardyn</cp:lastModifiedBy>
  <cp:lastPrinted>2013-09-17T13:58:53Z</cp:lastPrinted>
  <dcterms:created xsi:type="dcterms:W3CDTF">2013-05-17T14:24:21Z</dcterms:created>
  <dcterms:modified xsi:type="dcterms:W3CDTF">2014-09-09T07:20:27Z</dcterms:modified>
</cp:coreProperties>
</file>