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80" windowWidth="14640" windowHeight="7695" tabRatio="598" firstSheet="2" activeTab="3"/>
  </bookViews>
  <sheets>
    <sheet name="LEGENDE" sheetId="31" r:id="rId1"/>
    <sheet name="OUTPUT--&gt;" sheetId="34" r:id="rId2"/>
    <sheet name="SEAP template" sheetId="14" r:id="rId3"/>
    <sheet name="Nulmeting 2011" sheetId="48" r:id="rId4"/>
    <sheet name="INPUT--&gt;" sheetId="35" r:id="rId5"/>
    <sheet name="Eigen gebouwen" sheetId="19" r:id="rId6"/>
    <sheet name="Eigen openbare verlichting" sheetId="49" r:id="rId7"/>
    <sheet name="Eigen vloot" sheetId="20" r:id="rId8"/>
    <sheet name="Eigen informatie GS &amp; warmtenet" sheetId="43" r:id="rId9"/>
    <sheet name="Conversiefactoren" sheetId="50" r:id="rId10"/>
    <sheet name="DATA--&gt;" sheetId="36" r:id="rId11"/>
    <sheet name="data" sheetId="4" r:id="rId12"/>
    <sheet name="EF N2O_CH4 landbouw" sheetId="7" r:id="rId13"/>
    <sheet name="ha_N2O bodem landbouw" sheetId="21" r:id="rId14"/>
    <sheet name="GWP N2O_CH4" sheetId="47" r:id="rId15"/>
    <sheet name="EF brandstof" sheetId="11" r:id="rId16"/>
    <sheet name="EF ele_warmte" sheetId="6" r:id="rId17"/>
    <sheet name="ECF transport " sheetId="23" r:id="rId18"/>
    <sheet name="E Balans VL " sheetId="5" r:id="rId19"/>
    <sheet name="BEREKENINGEN PER SECTOR --&gt;" sheetId="45" r:id="rId20"/>
    <sheet name="openbare verlichting" sheetId="9" r:id="rId21"/>
    <sheet name="huishoudens" sheetId="13" r:id="rId22"/>
    <sheet name="tertiair" sheetId="15" r:id="rId23"/>
    <sheet name="industrie" sheetId="16" r:id="rId24"/>
    <sheet name="landbouw" sheetId="17" r:id="rId25"/>
    <sheet name="transport" sheetId="22" r:id="rId26"/>
    <sheet name="lokale energieproductie" sheetId="18" r:id="rId27"/>
    <sheet name="BRONNEN --&gt;" sheetId="44" r:id="rId28"/>
    <sheet name="versiebeheer" sheetId="51" r:id="rId29"/>
  </sheets>
  <externalReferences>
    <externalReference r:id="rId30"/>
  </externalReferences>
  <definedNames>
    <definedName name="_xlnm._FilterDatabase" localSheetId="17" hidden="1">'ECF transport '!$A$4:$F$66</definedName>
    <definedName name="_Toc352313866" localSheetId="12">'EF N2O_CH4 landbouw'!$A$19</definedName>
    <definedName name="Aantal_pluimvee">data!$B$28</definedName>
    <definedName name="Aantal_schapen">data!$B$26</definedName>
    <definedName name="aantalbiggen_tot_20kg">data!$B$21</definedName>
    <definedName name="aantalCultuurgronden">data!$B$14</definedName>
    <definedName name="AantalFokvarkens_beren">data!$B$24</definedName>
    <definedName name="AantalFokvarkens_zeugen">data!$B$25</definedName>
    <definedName name="aantalGeiten">data!$B$27</definedName>
    <definedName name="aantalHuishouden2020">data!$C$9</definedName>
    <definedName name="aantalHuishoudens2011">data!$B$9</definedName>
    <definedName name="aantalMelkkoeien">data!$B$16</definedName>
    <definedName name="AantalMestvarkens_meer_dan_110kg">data!$B$23</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data!$B$99</definedName>
    <definedName name="aantalw2001_ander">data!$B$100</definedName>
    <definedName name="aantalw2001_elektriciteit">data!$B$102</definedName>
    <definedName name="aantalw2001_hout">data!$B$103</definedName>
    <definedName name="aantalw2001_niet_gespec">data!$B$104</definedName>
    <definedName name="aantalw2001_propaan">data!$B$101</definedName>
    <definedName name="aantalw2001_steenkool">data!$B$105</definedName>
    <definedName name="aantalw2001_stookolie">data!$B$106</definedName>
    <definedName name="aantalw2001_WP">data!$B$107</definedName>
    <definedName name="aantalWP_NB_ander">data!$B$113</definedName>
    <definedName name="aantalWP_NB_industrie">data!$B$115</definedName>
    <definedName name="AantalWP_NB_industrie_met_kantoor">data!$B$116</definedName>
    <definedName name="aantalWP_NB_kantoor">data!$B$117</definedName>
    <definedName name="aantalWP_NB_school">data!$B$118</definedName>
    <definedName name="aantalWP_NB_wonen">data!$B$119</definedName>
    <definedName name="aantalWP_NB_wonen_met_kantoor">data!$B$120</definedName>
    <definedName name="aantalZB_NB_ander">data!$C$113</definedName>
    <definedName name="aantalZB_NB_ander_met_kantoor">data!$C$114</definedName>
    <definedName name="aantalZB_NB_industrie">data!$C$115</definedName>
    <definedName name="aantalZB_NB_industrie_met_kantoor">data!$C$116</definedName>
    <definedName name="aantalZB_NB_kantoor">data!$C$117</definedName>
    <definedName name="aantalZB_NB_school">data!$C$118</definedName>
    <definedName name="aantalZB_NB_wonen">data!$C$119</definedName>
    <definedName name="aantalZB_NB_wonen_met_kantoor">data!$C$120</definedName>
    <definedName name="aantalZoogkoeien">data!$B$17</definedName>
    <definedName name="antalWP_NB_ander_met_kantoor">data!$B$114</definedName>
    <definedName name="ECF_PW_SW_CNG_CNG">'ECF transport '!$F$4</definedName>
    <definedName name="ECF_PW_SW_Diesel_Diesel">'ECF transport '!$F$5</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N_ander_gas_aantal">data!$C$34</definedName>
    <definedName name="EN_andere_ele_aantal">data!$E$34</definedName>
    <definedName name="EN_andere_ele_kWh">data!$F$34</definedName>
    <definedName name="EN_andere_gas_kWh">data!$D$34</definedName>
    <definedName name="EN_ele_ele_aantal">data!$E$35</definedName>
    <definedName name="EN_ele_ele_kWh">data!$F$35</definedName>
    <definedName name="EN_ele_gas_aantal">data!$C$35</definedName>
    <definedName name="EN_ele_gas_kWh">data!$D$35</definedName>
    <definedName name="EN_raff_ele_aantal">data!$E$36</definedName>
    <definedName name="EN_raff_ele_kWh">data!$F$36</definedName>
    <definedName name="EN_raff_gas_aantal">data!$C$36</definedName>
    <definedName name="EN_raff_gas_kWh">data!$D$36</definedName>
    <definedName name="EN_rest_ele_aantal">data!$E$37</definedName>
    <definedName name="EN_rest_ele_kWh">data!$F$37</definedName>
    <definedName name="EN_rest_gas_aantal">data!$C$37</definedName>
    <definedName name="EN_rest_gas_kWh">data!$D$37</definedName>
    <definedName name="HH_hh_ele_aantal">data!$E$38</definedName>
    <definedName name="HH_hh_ele_kWh">data!$F$38</definedName>
    <definedName name="HH_hh_gas_aantal">data!$C$38</definedName>
    <definedName name="HH_hh_gas_kWh">data!$D$38</definedName>
    <definedName name="HH_rest_ele_aantal">data!$E$39</definedName>
    <definedName name="HH_rest_gas_aantal">data!$C$39</definedName>
    <definedName name="HH_rest_gas_kWh">data!$D$39</definedName>
    <definedName name="HH_rest_kWh">data!$F$39</definedName>
    <definedName name="IND_ander_ele_kWh">data!$F$40</definedName>
    <definedName name="IND_ander_gas_aantal">data!$C$40</definedName>
    <definedName name="IND_andere_ele_aantal">data!$E$40</definedName>
    <definedName name="IND_andere_gas_kWh">data!$D$40</definedName>
    <definedName name="IND_chemie_ele_aantal">data!$E$41</definedName>
    <definedName name="IND_chemie_ele_kWh">data!$F$41</definedName>
    <definedName name="IND_chemie_gas_aantal">data!$C$41</definedName>
    <definedName name="IND_chemie_gas_kWh">data!$D$41</definedName>
    <definedName name="IND_ijzer_ele_aantal">data!$E$42</definedName>
    <definedName name="IND_ijzer_ele_kWh">data!$F$42</definedName>
    <definedName name="IND_ijzer_gas_aantal">data!$C$42</definedName>
    <definedName name="IND_ijzer_gas_kWh">data!$D$42</definedName>
    <definedName name="IND_metaal_ele_aantal">data!$E$43</definedName>
    <definedName name="IND_metaal_ele_kWh">data!$F$43</definedName>
    <definedName name="IND_metaal_gas_aantal">data!$C$43</definedName>
    <definedName name="IND_metaal_Gas_kWH">data!$D$43</definedName>
    <definedName name="IND_min_ele_aantal">data!$E$44</definedName>
    <definedName name="IND_min_ele_kWh">data!$F$44</definedName>
    <definedName name="IND_min_gas_aantal">data!$C$44</definedName>
    <definedName name="IND_min_gas_kWh">data!$D$44</definedName>
    <definedName name="IND_nonf_ele_aantal">data!$E$45</definedName>
    <definedName name="IND_nonf_ele_kWh">data!$F$45</definedName>
    <definedName name="IND_nonf_gas_aantal">data!$C$45</definedName>
    <definedName name="IND_nonf_gas_kWh">data!$D$45</definedName>
    <definedName name="IND_papier_ele_aantal">data!$E$46</definedName>
    <definedName name="IND_papier_ele_kWh">data!$F$46</definedName>
    <definedName name="IND_papier_gas_aantal">data!$C$46</definedName>
    <definedName name="IND_papier_gas_kWh">data!$D$46</definedName>
    <definedName name="IND_rest_ele_aantal">data!$E$47</definedName>
    <definedName name="IND_rest_ele_kWh">data!$F$47</definedName>
    <definedName name="IND_rest_gas_aantal">data!$C$47</definedName>
    <definedName name="IND_rest_gas_kWh">data!$D$47</definedName>
    <definedName name="IND_textiel_ele_aantal">data!$E$48</definedName>
    <definedName name="IND_textiel_ele_kWh">data!$F$48</definedName>
    <definedName name="IND_textiel_gas_aantal">data!$C$48</definedName>
    <definedName name="IND_textiel_gas_kWh">data!$D$48</definedName>
    <definedName name="IND_voed_ele_aantal">data!$E$49</definedName>
    <definedName name="IND_voed_ele_kWh">data!$F$49</definedName>
    <definedName name="IND_voed_gas_aantal">data!$C$49</definedName>
    <definedName name="IND_voed_gas_kWh">data!$D$49</definedName>
    <definedName name="kWh_PV_groter_dan_10kW">data!$B$94</definedName>
    <definedName name="kWh_PV_kleiner_dan_10kW">data!$B$93</definedName>
    <definedName name="kWh_waterkracht">data!$B$91</definedName>
    <definedName name="kWh_wind_land">data!$B$92</definedName>
    <definedName name="LB_lb_ele_aantal">data!$E$50</definedName>
    <definedName name="LB_lb_ele_kWh">data!$F$50</definedName>
    <definedName name="LB_lb_gas_aantal">data!$C$50</definedName>
    <definedName name="LB_lb_gas_kWh">data!$D$50</definedName>
    <definedName name="LB_rest_ele_aantal">data!$E$51</definedName>
    <definedName name="LB_rest_ele_kWh">data!$F$51</definedName>
    <definedName name="LB_rest_gas_aantal">data!$C$51</definedName>
    <definedName name="LB_rest_gas_kWh">data!$D$51</definedName>
    <definedName name="NIS">data!$A$1</definedName>
    <definedName name="Onbekend_ele_aantal">data!$E$52</definedName>
    <definedName name="Onbekend_ele_kWh">data!$F$52</definedName>
    <definedName name="onbekend_gas_aantal">data!$C$52</definedName>
    <definedName name="onbekend_gas_kWh">data!$D$52</definedName>
    <definedName name="OV_ov_ele_aantal">data!$E$53</definedName>
    <definedName name="OV_ov_ele_kWh">data!$F$53</definedName>
    <definedName name="OV_rest_ele_aantal">data!$E$54</definedName>
    <definedName name="OV_rest_ele_kWh">data!$F$54</definedName>
    <definedName name="Resolution">1</definedName>
    <definedName name="REST_rest_aantal_gas">data!$C$55</definedName>
    <definedName name="REST_rest_ele_aantal">data!$E$55</definedName>
    <definedName name="REST_rest_ele_kWh">data!$F$55</definedName>
    <definedName name="REST_rest_gas_kWh">data!$D$55</definedName>
    <definedName name="TER_ander_ele_aantal">data!$E$56</definedName>
    <definedName name="TER_ander_ele_kWh">data!$F$56</definedName>
    <definedName name="TER_ander_gas_aantal">data!$C$56</definedName>
    <definedName name="TER_ander_gas_kWh">data!$D$56</definedName>
    <definedName name="TER_gezond_ele_aantal">data!$E$57</definedName>
    <definedName name="TER_gezond_ele_kWh">data!$F$57</definedName>
    <definedName name="TER_gezond_gas_aantal">data!$C$57</definedName>
    <definedName name="TER_gezond_gas_kWh">data!$D$57</definedName>
    <definedName name="TER_handel_ele_aantal">data!$E$58</definedName>
    <definedName name="TER_handel_ele_kWh">data!$F$58</definedName>
    <definedName name="TER_handel_gas_aantal">data!$C$58</definedName>
    <definedName name="TER_handel_gas_kWh">data!$D$58</definedName>
    <definedName name="TER_horeca_ele_aantal">data!$E$59</definedName>
    <definedName name="TER_horeca_ele_kWh">data!$F$59</definedName>
    <definedName name="TER_horeca_gas_aantal">data!$C$59</definedName>
    <definedName name="TER_horeca_gas_kWh">data!$D$59</definedName>
    <definedName name="TER_kantoor_ele_aantal">data!$E$60</definedName>
    <definedName name="TER_kantoor_ele_kWh">data!$F$60</definedName>
    <definedName name="TER_Kantoor_gas_aantal">data!$C$60</definedName>
    <definedName name="TER_kantoor_gas_kWh">data!$D$60</definedName>
    <definedName name="TER_Onderw_gas_aantal">data!$C$61</definedName>
    <definedName name="TER_onderwijs_ele_aantal">data!$E$61</definedName>
    <definedName name="TER_onderwijs_ele_kWh">data!$F$61</definedName>
    <definedName name="TER_onderwijs_gas_kWh">data!$D$61</definedName>
    <definedName name="TER_rest_ele_aantal">data!$E$62</definedName>
    <definedName name="TER_rest_ele_kWh">data!$F$62</definedName>
    <definedName name="TER_rest_gas_aantal">data!$C$62</definedName>
    <definedName name="TER_rest_gas_kWh">data!$D$62</definedName>
    <definedName name="TR_lucht_gas_aantal">data!$C$63</definedName>
    <definedName name="TR_luchtvaart_ele_aantal">data!$E$63</definedName>
    <definedName name="TR_luchtvaart_ele_kWh">data!$F$63</definedName>
    <definedName name="TR_luchtvaart_Gas_kWh">data!$D$63</definedName>
    <definedName name="TR_pijp_ele_aantal">data!$E$66</definedName>
    <definedName name="TR_pijp_ele_kWh">data!$F$66</definedName>
    <definedName name="TR_pijp_gas_aantal">data!$C$66</definedName>
    <definedName name="TR_pijp_gas_kWh">data!$D$66</definedName>
    <definedName name="TR_rest_ele_aantal">data!$E$64</definedName>
    <definedName name="TR_rest_ele_kWh">data!$F$64</definedName>
    <definedName name="TR_rest_gas_aantal">data!$C$64</definedName>
    <definedName name="TR_rest_gas_kWh">data!$D$64</definedName>
    <definedName name="TR_water_ele_aantal">data!$E$65</definedName>
    <definedName name="TR_water_ele_kWh">data!$F$65</definedName>
    <definedName name="TR_water_gas_aantal">data!$C$65</definedName>
    <definedName name="TR_water_gas_kWh">data!$D$65</definedName>
    <definedName name="TR_weg_ele_aantal">data!$E$67</definedName>
    <definedName name="TR_weg_ele_kWh">data!$F$67</definedName>
    <definedName name="TR_weg_gas_aantal">data!$C$67</definedName>
    <definedName name="TR_weg_gas_kWh">data!$D$67</definedName>
    <definedName name="txtMunicipality">data!$A$5</definedName>
    <definedName name="txtNIS">data!$A$4</definedName>
    <definedName name="vkm_2011_bus">data!$B$85</definedName>
    <definedName name="vkm_2011_GW_LV">data!$C$72</definedName>
    <definedName name="vkm_2011_GW_PW">data!$C$73</definedName>
    <definedName name="vkm_2011_GW_ZV">data!$C$74</definedName>
    <definedName name="vkm_2011_NGW_LV">data!$C$75</definedName>
    <definedName name="vkm_2011_NGW_PW">data!$C$76</definedName>
    <definedName name="vkm_2011_NGW_ZV">data!$C$77</definedName>
    <definedName name="vkm_2011_SW_LV">data!$C$78</definedName>
    <definedName name="vkm_2011_SW_PW">data!$C$79</definedName>
    <definedName name="vkm_2011_SW_ZV">data!$C$80</definedName>
    <definedName name="vkm_2011_tram">data!$B$86</definedName>
    <definedName name="vkm_2020_bus">data!$C$85</definedName>
    <definedName name="vkm_2020_GW_LV">data!$D$72</definedName>
    <definedName name="vkm_2020_GW_PW">data!$D$73</definedName>
    <definedName name="vkm_2020_GW_ZV">data!$D$74</definedName>
    <definedName name="vkm_2020_NGW_LV">data!$D$75</definedName>
    <definedName name="vkm_2020_NGW_PW">data!$D$76</definedName>
    <definedName name="vkm_2020_NGW_ZV">data!$D$77</definedName>
    <definedName name="vkm_2020_SW_LV">data!$D$78</definedName>
    <definedName name="vkm_2020_SW_PW">data!$D$79</definedName>
    <definedName name="vkm_2020_SW_ZV">data!$D$80</definedName>
    <definedName name="vkm_2020_tram">data!$C$86</definedName>
    <definedName name="WP_HH_bestaande_bouw">data!$B$128</definedName>
    <definedName name="WP_NHH_bestaande_bouw">data!$B$127</definedName>
    <definedName name="ZB_HH_bestaande_bouw">data!$B$125</definedName>
    <definedName name="ZB_NHH_bestaande_bouw">data!$B$126</definedName>
  </definedNames>
  <calcPr calcId="145621"/>
</workbook>
</file>

<file path=xl/calcChain.xml><?xml version="1.0" encoding="utf-8"?>
<calcChain xmlns="http://schemas.openxmlformats.org/spreadsheetml/2006/main">
  <c r="B4" i="49" l="1"/>
  <c r="H13" i="22" l="1"/>
  <c r="H10" i="22"/>
  <c r="H7" i="22"/>
  <c r="H12" i="22"/>
  <c r="H9" i="22"/>
  <c r="H6" i="22"/>
  <c r="G13" i="22"/>
  <c r="G12" i="22"/>
  <c r="G10" i="22"/>
  <c r="G9" i="22"/>
  <c r="G7" i="22"/>
  <c r="G6" i="22"/>
  <c r="G14" i="22"/>
  <c r="G11" i="22"/>
  <c r="G8" i="22"/>
  <c r="M14" i="22"/>
  <c r="M13" i="22"/>
  <c r="M12" i="22"/>
  <c r="M11" i="22"/>
  <c r="M10" i="22"/>
  <c r="M9" i="22"/>
  <c r="M8" i="22"/>
  <c r="M7" i="22"/>
  <c r="M6" i="22"/>
  <c r="B46" i="15" l="1"/>
  <c r="B69" i="13"/>
  <c r="B35" i="19" l="1"/>
  <c r="B27" i="19"/>
  <c r="B26" i="19"/>
  <c r="B6" i="13" l="1"/>
  <c r="B17" i="17" l="1"/>
  <c r="E23" i="22" l="1"/>
  <c r="B34" i="17" l="1"/>
  <c r="B18" i="13" l="1"/>
  <c r="B19" i="13"/>
  <c r="B20" i="13"/>
  <c r="B21" i="13"/>
  <c r="B6" i="16" l="1"/>
  <c r="W91" i="18" l="1"/>
  <c r="V91" i="18"/>
  <c r="U91" i="18"/>
  <c r="T91" i="18"/>
  <c r="S91" i="18"/>
  <c r="R91" i="18"/>
  <c r="Q91" i="18"/>
  <c r="P91" i="18"/>
  <c r="O91" i="18"/>
  <c r="N91" i="18"/>
  <c r="M91" i="18"/>
  <c r="W90" i="18"/>
  <c r="V90" i="18"/>
  <c r="U90" i="18"/>
  <c r="T90" i="18"/>
  <c r="S90" i="18"/>
  <c r="R90" i="18"/>
  <c r="Q90" i="18"/>
  <c r="P90" i="18"/>
  <c r="O90" i="18"/>
  <c r="N90" i="18"/>
  <c r="M90" i="18"/>
  <c r="W89" i="18"/>
  <c r="V89" i="18"/>
  <c r="U89" i="18"/>
  <c r="T89" i="18"/>
  <c r="S89" i="18"/>
  <c r="R89" i="18"/>
  <c r="Q89" i="18"/>
  <c r="P89" i="18"/>
  <c r="O89" i="18"/>
  <c r="C16" i="16" s="1"/>
  <c r="N89" i="18"/>
  <c r="M89" i="18"/>
  <c r="W88" i="18"/>
  <c r="H8" i="18" s="1"/>
  <c r="V88" i="18"/>
  <c r="J8" i="18" s="1"/>
  <c r="U88" i="18"/>
  <c r="T88" i="18"/>
  <c r="S88" i="18"/>
  <c r="R88" i="18"/>
  <c r="Q88" i="18"/>
  <c r="P88" i="18"/>
  <c r="O88" i="18"/>
  <c r="N88" i="18"/>
  <c r="B8" i="18" s="1"/>
  <c r="M88" i="18"/>
  <c r="W60" i="18"/>
  <c r="V60" i="18"/>
  <c r="U60" i="18"/>
  <c r="T60" i="18"/>
  <c r="S60" i="18"/>
  <c r="R60" i="18"/>
  <c r="Q60" i="18"/>
  <c r="N6" i="17" s="1"/>
  <c r="N5" i="17" s="1"/>
  <c r="N8" i="17" s="1"/>
  <c r="P60" i="18"/>
  <c r="O60" i="18"/>
  <c r="N60" i="18"/>
  <c r="M60" i="18"/>
  <c r="W59" i="18"/>
  <c r="V59" i="18"/>
  <c r="U59" i="18"/>
  <c r="T59" i="18"/>
  <c r="S59" i="18"/>
  <c r="F13" i="15" s="1"/>
  <c r="R59" i="18"/>
  <c r="Q59" i="18"/>
  <c r="P59" i="18"/>
  <c r="D13" i="15" s="1"/>
  <c r="O59" i="18"/>
  <c r="C13" i="15" s="1"/>
  <c r="N59" i="18"/>
  <c r="B13" i="15" s="1"/>
  <c r="M59" i="18"/>
  <c r="W58" i="18"/>
  <c r="V58" i="18"/>
  <c r="U58" i="18"/>
  <c r="T58" i="18"/>
  <c r="L16" i="16" s="1"/>
  <c r="L18" i="16" s="1"/>
  <c r="S58" i="18"/>
  <c r="F16" i="16" s="1"/>
  <c r="R58" i="18"/>
  <c r="Q58" i="18"/>
  <c r="P58" i="18"/>
  <c r="O58" i="18"/>
  <c r="N58" i="18"/>
  <c r="M58" i="18"/>
  <c r="W57" i="18"/>
  <c r="V57" i="18"/>
  <c r="U57" i="18"/>
  <c r="T57" i="18"/>
  <c r="S57" i="18"/>
  <c r="R57" i="18"/>
  <c r="Q57" i="18"/>
  <c r="P57" i="18"/>
  <c r="O57" i="18"/>
  <c r="B97" i="18" s="1"/>
  <c r="N57" i="18"/>
  <c r="C97" i="18" s="1"/>
  <c r="I100" i="18" s="1"/>
  <c r="H7" i="18" s="1"/>
  <c r="H61" i="14" s="1"/>
  <c r="M57" i="18"/>
  <c r="K21" i="18"/>
  <c r="J21" i="18"/>
  <c r="I21" i="18"/>
  <c r="H21" i="18"/>
  <c r="G21" i="18"/>
  <c r="F21" i="18"/>
  <c r="E21" i="18"/>
  <c r="D21" i="18"/>
  <c r="C21" i="18"/>
  <c r="L18" i="18"/>
  <c r="L74" i="14" s="1"/>
  <c r="K18" i="18"/>
  <c r="K74" i="14" s="1"/>
  <c r="J18" i="18"/>
  <c r="J74" i="14" s="1"/>
  <c r="I18" i="18"/>
  <c r="I74" i="14" s="1"/>
  <c r="H18" i="18"/>
  <c r="H74" i="14" s="1"/>
  <c r="G18" i="18"/>
  <c r="G74" i="14" s="1"/>
  <c r="F18" i="18"/>
  <c r="E18" i="18"/>
  <c r="E74" i="14" s="1"/>
  <c r="D18" i="18"/>
  <c r="D74" i="14" s="1"/>
  <c r="C18" i="18"/>
  <c r="C74" i="14" s="1"/>
  <c r="B18" i="18"/>
  <c r="B74" i="14" s="1"/>
  <c r="L17" i="18"/>
  <c r="K17" i="18"/>
  <c r="K19" i="18" s="1"/>
  <c r="J17" i="18"/>
  <c r="I17" i="18"/>
  <c r="H17" i="18"/>
  <c r="G17" i="18"/>
  <c r="G19" i="18" s="1"/>
  <c r="F17" i="18"/>
  <c r="E17" i="18"/>
  <c r="D17" i="18"/>
  <c r="C17" i="18"/>
  <c r="B17" i="18"/>
  <c r="B16" i="18"/>
  <c r="B72" i="14" s="1"/>
  <c r="K11" i="18"/>
  <c r="J11" i="18"/>
  <c r="I11" i="18"/>
  <c r="H11" i="18"/>
  <c r="G11" i="18"/>
  <c r="F11" i="18"/>
  <c r="E11" i="18"/>
  <c r="D11" i="18"/>
  <c r="C11" i="18"/>
  <c r="L8" i="18"/>
  <c r="L9" i="18" s="1"/>
  <c r="K8" i="18"/>
  <c r="K9" i="18" s="1"/>
  <c r="I8" i="18"/>
  <c r="G8" i="18"/>
  <c r="G9" i="18" s="1"/>
  <c r="F8" i="18"/>
  <c r="F9" i="18" s="1"/>
  <c r="E8" i="18"/>
  <c r="E62" i="14" s="1"/>
  <c r="D8" i="18"/>
  <c r="D9" i="18" s="1"/>
  <c r="C8" i="18"/>
  <c r="B6" i="18"/>
  <c r="B5" i="18"/>
  <c r="B4" i="18"/>
  <c r="C82" i="22"/>
  <c r="A82" i="22"/>
  <c r="C81" i="22"/>
  <c r="A81" i="22"/>
  <c r="E80" i="22"/>
  <c r="C80" i="22"/>
  <c r="A80" i="22"/>
  <c r="E79" i="22"/>
  <c r="D79" i="22"/>
  <c r="C79" i="22"/>
  <c r="B79" i="22"/>
  <c r="A79" i="22"/>
  <c r="E78" i="22"/>
  <c r="D78" i="22"/>
  <c r="C78" i="22"/>
  <c r="B78" i="22"/>
  <c r="A78" i="22"/>
  <c r="B71" i="22"/>
  <c r="B68" i="22"/>
  <c r="P62" i="22"/>
  <c r="O62" i="22"/>
  <c r="N62" i="22"/>
  <c r="L62" i="22"/>
  <c r="K62" i="22"/>
  <c r="J62" i="22"/>
  <c r="I62" i="22"/>
  <c r="H62" i="22"/>
  <c r="F62" i="22"/>
  <c r="E62" i="22"/>
  <c r="D62" i="22"/>
  <c r="N60" i="22"/>
  <c r="M60" i="22"/>
  <c r="L60" i="22"/>
  <c r="K60" i="22"/>
  <c r="J60" i="22"/>
  <c r="I60" i="22"/>
  <c r="H60" i="22"/>
  <c r="G60" i="22"/>
  <c r="F60" i="22"/>
  <c r="E60" i="22"/>
  <c r="D60" i="22"/>
  <c r="P58" i="22"/>
  <c r="O58" i="22"/>
  <c r="N58" i="22"/>
  <c r="L58" i="22"/>
  <c r="K58" i="22"/>
  <c r="J58" i="22"/>
  <c r="I58" i="22"/>
  <c r="H58" i="22"/>
  <c r="F58" i="22"/>
  <c r="E58" i="22"/>
  <c r="D58" i="22"/>
  <c r="C58" i="22"/>
  <c r="B56" i="22"/>
  <c r="B54" i="22" s="1"/>
  <c r="B58" i="22" s="1"/>
  <c r="M55" i="22"/>
  <c r="M54" i="22" s="1"/>
  <c r="M58" i="22" s="1"/>
  <c r="G55" i="22"/>
  <c r="G54" i="22" s="1"/>
  <c r="G58" i="22" s="1"/>
  <c r="P54" i="22"/>
  <c r="O54" i="22"/>
  <c r="N54" i="22"/>
  <c r="L54" i="22"/>
  <c r="K54" i="22"/>
  <c r="J54" i="22"/>
  <c r="I54" i="22"/>
  <c r="H54" i="22"/>
  <c r="F54" i="22"/>
  <c r="E54" i="22"/>
  <c r="D54" i="22"/>
  <c r="C54" i="22"/>
  <c r="C46" i="22"/>
  <c r="C45" i="22"/>
  <c r="C39" i="22"/>
  <c r="C38" i="22"/>
  <c r="L29" i="22"/>
  <c r="L28" i="22"/>
  <c r="L27" i="22"/>
  <c r="N19" i="22"/>
  <c r="M19" i="22"/>
  <c r="L19" i="22"/>
  <c r="K19" i="22"/>
  <c r="J19" i="22"/>
  <c r="I19" i="22"/>
  <c r="H19" i="22"/>
  <c r="G19" i="22"/>
  <c r="F19" i="22"/>
  <c r="E19" i="22"/>
  <c r="D19" i="22"/>
  <c r="H14" i="22"/>
  <c r="E13" i="22"/>
  <c r="D13" i="22"/>
  <c r="B13" i="22"/>
  <c r="E12" i="22"/>
  <c r="D12" i="22"/>
  <c r="B12" i="22"/>
  <c r="H11" i="22"/>
  <c r="E10" i="22"/>
  <c r="D10" i="22"/>
  <c r="B10" i="22"/>
  <c r="E9" i="22"/>
  <c r="D9" i="22"/>
  <c r="B9" i="22"/>
  <c r="H8" i="22"/>
  <c r="E7" i="22"/>
  <c r="D7" i="22"/>
  <c r="B7" i="22"/>
  <c r="E6" i="22"/>
  <c r="D6" i="22"/>
  <c r="B6" i="22"/>
  <c r="M5" i="22"/>
  <c r="H5" i="22"/>
  <c r="G5" i="22"/>
  <c r="B29" i="17"/>
  <c r="C29" i="17" s="1"/>
  <c r="C28" i="17"/>
  <c r="B28" i="17"/>
  <c r="B27" i="17"/>
  <c r="C27" i="17" s="1"/>
  <c r="C26" i="17"/>
  <c r="B26" i="17"/>
  <c r="J5" i="17"/>
  <c r="J8" i="17" s="1"/>
  <c r="M12" i="17"/>
  <c r="N10" i="17"/>
  <c r="M10" i="17"/>
  <c r="L10" i="17"/>
  <c r="K10" i="17"/>
  <c r="J10" i="17"/>
  <c r="I10" i="17"/>
  <c r="H10" i="17"/>
  <c r="G10" i="17"/>
  <c r="F10" i="17"/>
  <c r="E10" i="17"/>
  <c r="D10" i="17"/>
  <c r="L6" i="17"/>
  <c r="F6" i="17"/>
  <c r="D6" i="17"/>
  <c r="C6" i="17"/>
  <c r="L5" i="17"/>
  <c r="L8" i="17" s="1"/>
  <c r="L12" i="17" s="1"/>
  <c r="F5" i="17"/>
  <c r="F8" i="17" s="1"/>
  <c r="F12" i="17" s="1"/>
  <c r="D5" i="17"/>
  <c r="D8" i="17" s="1"/>
  <c r="D12" i="17" s="1"/>
  <c r="C5" i="17"/>
  <c r="B5" i="17"/>
  <c r="B8" i="17" s="1"/>
  <c r="B7" i="48" s="1"/>
  <c r="B51" i="16"/>
  <c r="B45" i="16"/>
  <c r="B43" i="16"/>
  <c r="B37" i="16"/>
  <c r="C37" i="16" s="1"/>
  <c r="F15" i="16" s="1"/>
  <c r="B36" i="16"/>
  <c r="C36" i="16" s="1"/>
  <c r="J14" i="16" s="1"/>
  <c r="B35" i="16"/>
  <c r="B34" i="16"/>
  <c r="B12" i="16" s="1"/>
  <c r="B33" i="16"/>
  <c r="C33" i="16" s="1"/>
  <c r="F11" i="16" s="1"/>
  <c r="B32" i="16"/>
  <c r="C32" i="16" s="1"/>
  <c r="J10" i="16" s="1"/>
  <c r="B31" i="16"/>
  <c r="C31" i="16" s="1"/>
  <c r="B30" i="16"/>
  <c r="C30" i="16" s="1"/>
  <c r="N8" i="16" s="1"/>
  <c r="B29" i="16"/>
  <c r="C29" i="16" s="1"/>
  <c r="M22" i="16"/>
  <c r="N20" i="16"/>
  <c r="M20" i="16"/>
  <c r="L20" i="16"/>
  <c r="K20" i="16"/>
  <c r="J20" i="16"/>
  <c r="I20" i="16"/>
  <c r="H20" i="16"/>
  <c r="G20" i="16"/>
  <c r="F20" i="16"/>
  <c r="E20" i="16"/>
  <c r="D20" i="16"/>
  <c r="N16" i="16"/>
  <c r="D16" i="16"/>
  <c r="B16" i="16"/>
  <c r="J15" i="16"/>
  <c r="D15" i="16"/>
  <c r="B15" i="16"/>
  <c r="N14" i="16"/>
  <c r="F14" i="16"/>
  <c r="E14" i="16"/>
  <c r="D14" i="16"/>
  <c r="D13" i="16"/>
  <c r="B13" i="16"/>
  <c r="D12" i="16"/>
  <c r="J11" i="16"/>
  <c r="D11" i="16"/>
  <c r="B11" i="16"/>
  <c r="N10" i="16"/>
  <c r="F10" i="16"/>
  <c r="E10" i="16"/>
  <c r="D10" i="16"/>
  <c r="N9" i="16"/>
  <c r="J9" i="16"/>
  <c r="F9" i="16"/>
  <c r="E9" i="16"/>
  <c r="D9" i="16"/>
  <c r="B9" i="16"/>
  <c r="F8" i="16"/>
  <c r="E8" i="16"/>
  <c r="D8" i="16"/>
  <c r="D7" i="16"/>
  <c r="D5" i="16" s="1"/>
  <c r="D18" i="16" s="1"/>
  <c r="B7" i="16"/>
  <c r="D6" i="16"/>
  <c r="P5" i="16"/>
  <c r="P18" i="16" s="1"/>
  <c r="P22" i="16" s="1"/>
  <c r="P36" i="14" s="1"/>
  <c r="O5" i="16"/>
  <c r="O18" i="16" s="1"/>
  <c r="O22" i="16" s="1"/>
  <c r="O36" i="14" s="1"/>
  <c r="C5" i="16"/>
  <c r="B40" i="15"/>
  <c r="B38" i="15"/>
  <c r="O5" i="15" s="1"/>
  <c r="B32" i="15"/>
  <c r="C32" i="15" s="1"/>
  <c r="N12" i="15" s="1"/>
  <c r="B31" i="15"/>
  <c r="C31" i="15" s="1"/>
  <c r="B30" i="15"/>
  <c r="C30" i="15" s="1"/>
  <c r="E10" i="15" s="1"/>
  <c r="B29" i="15"/>
  <c r="C29" i="15" s="1"/>
  <c r="J9" i="15" s="1"/>
  <c r="J5" i="15" s="1"/>
  <c r="B28" i="15"/>
  <c r="C28" i="15" s="1"/>
  <c r="N8" i="15" s="1"/>
  <c r="B27" i="15"/>
  <c r="C27" i="15" s="1"/>
  <c r="B26" i="15"/>
  <c r="C26" i="15" s="1"/>
  <c r="E6" i="15" s="1"/>
  <c r="G20" i="15"/>
  <c r="G33" i="14" s="1"/>
  <c r="N18" i="15"/>
  <c r="M18" i="15"/>
  <c r="L18" i="15"/>
  <c r="K18" i="15"/>
  <c r="J18" i="15"/>
  <c r="I18" i="15"/>
  <c r="H18" i="15"/>
  <c r="G18" i="15"/>
  <c r="F18" i="15"/>
  <c r="E18" i="15"/>
  <c r="D18" i="15"/>
  <c r="H14" i="15"/>
  <c r="H16" i="15" s="1"/>
  <c r="H20" i="15" s="1"/>
  <c r="H33" i="14" s="1"/>
  <c r="G14" i="15"/>
  <c r="G16" i="15" s="1"/>
  <c r="J12" i="15"/>
  <c r="F12" i="15"/>
  <c r="E12" i="15"/>
  <c r="D12" i="15"/>
  <c r="B12" i="15"/>
  <c r="N11" i="15"/>
  <c r="J11" i="15"/>
  <c r="F11" i="15"/>
  <c r="E11" i="15"/>
  <c r="D11" i="15"/>
  <c r="B11" i="15"/>
  <c r="J10" i="15"/>
  <c r="F10" i="15"/>
  <c r="D10" i="15"/>
  <c r="B10" i="15"/>
  <c r="N9" i="15"/>
  <c r="D9" i="15"/>
  <c r="J8" i="15"/>
  <c r="F8" i="15"/>
  <c r="E8" i="15"/>
  <c r="D8" i="15"/>
  <c r="B8" i="15"/>
  <c r="N7" i="15"/>
  <c r="J7" i="15"/>
  <c r="F7" i="15"/>
  <c r="E7" i="15"/>
  <c r="D7" i="15"/>
  <c r="B7" i="15"/>
  <c r="J6" i="15"/>
  <c r="F6" i="15"/>
  <c r="D6" i="15"/>
  <c r="B6" i="15"/>
  <c r="P5" i="15"/>
  <c r="D5" i="15"/>
  <c r="C5" i="15"/>
  <c r="B77" i="13"/>
  <c r="P5" i="13" s="1"/>
  <c r="P8" i="13" s="1"/>
  <c r="B71" i="13"/>
  <c r="B52" i="13"/>
  <c r="B49" i="13"/>
  <c r="B45" i="13"/>
  <c r="B29" i="13"/>
  <c r="B32" i="13" s="1"/>
  <c r="B44" i="13" s="1"/>
  <c r="B28" i="13"/>
  <c r="B26" i="13"/>
  <c r="B25" i="13"/>
  <c r="B24" i="13"/>
  <c r="B38" i="13" s="1"/>
  <c r="B23" i="13"/>
  <c r="B22" i="13"/>
  <c r="N10" i="13"/>
  <c r="N16" i="48" s="1"/>
  <c r="N29" i="48" s="1"/>
  <c r="M10" i="13"/>
  <c r="M12" i="13" s="1"/>
  <c r="M34" i="14" s="1"/>
  <c r="L10" i="13"/>
  <c r="L12" i="13" s="1"/>
  <c r="L34" i="14" s="1"/>
  <c r="K10" i="13"/>
  <c r="J10" i="13"/>
  <c r="J16" i="48" s="1"/>
  <c r="J29" i="48" s="1"/>
  <c r="I10" i="13"/>
  <c r="I16" i="48" s="1"/>
  <c r="H10" i="13"/>
  <c r="H16" i="48" s="1"/>
  <c r="H27" i="48" s="1"/>
  <c r="G10" i="13"/>
  <c r="F10" i="13"/>
  <c r="F16" i="48" s="1"/>
  <c r="F29" i="48" s="1"/>
  <c r="E10" i="13"/>
  <c r="E16" i="48" s="1"/>
  <c r="D10" i="13"/>
  <c r="D16" i="48" s="1"/>
  <c r="D27" i="48" s="1"/>
  <c r="M8" i="13"/>
  <c r="L8" i="13"/>
  <c r="L11" i="14" s="1"/>
  <c r="O5" i="13"/>
  <c r="O8" i="13" s="1"/>
  <c r="O4" i="48" s="1"/>
  <c r="D5" i="13"/>
  <c r="D8" i="13" s="1"/>
  <c r="C5" i="13"/>
  <c r="C8" i="13" s="1"/>
  <c r="B5" i="13"/>
  <c r="B8" i="13" s="1"/>
  <c r="B5" i="9"/>
  <c r="AC33" i="5"/>
  <c r="W33" i="5"/>
  <c r="V33" i="5"/>
  <c r="R33" i="5"/>
  <c r="F33" i="5"/>
  <c r="AC32" i="5"/>
  <c r="W32" i="5"/>
  <c r="V32" i="5"/>
  <c r="R32" i="5"/>
  <c r="F32" i="5"/>
  <c r="AC31" i="5"/>
  <c r="W31" i="5"/>
  <c r="V31" i="5"/>
  <c r="R31" i="5"/>
  <c r="F31" i="5"/>
  <c r="AC30" i="5"/>
  <c r="W30" i="5"/>
  <c r="V30" i="5"/>
  <c r="R30" i="5"/>
  <c r="F30" i="5"/>
  <c r="AC29" i="5"/>
  <c r="W29" i="5"/>
  <c r="V29" i="5"/>
  <c r="R29" i="5"/>
  <c r="F29" i="5"/>
  <c r="AC28" i="5"/>
  <c r="W28" i="5"/>
  <c r="V28" i="5"/>
  <c r="R28" i="5"/>
  <c r="F28" i="5"/>
  <c r="AC27" i="5"/>
  <c r="W27" i="5"/>
  <c r="V27" i="5"/>
  <c r="R27" i="5"/>
  <c r="F27"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AC24" i="5"/>
  <c r="W24" i="5"/>
  <c r="V24" i="5"/>
  <c r="R24" i="5"/>
  <c r="F24" i="5"/>
  <c r="AC23" i="5"/>
  <c r="W23" i="5"/>
  <c r="V23" i="5"/>
  <c r="R23" i="5"/>
  <c r="F23" i="5"/>
  <c r="AC22" i="5"/>
  <c r="W22" i="5"/>
  <c r="V22" i="5"/>
  <c r="R22" i="5"/>
  <c r="F22" i="5"/>
  <c r="AC21" i="5"/>
  <c r="W21" i="5"/>
  <c r="V21" i="5"/>
  <c r="R21" i="5"/>
  <c r="F21" i="5"/>
  <c r="AC20" i="5"/>
  <c r="W20" i="5"/>
  <c r="V20" i="5"/>
  <c r="R20" i="5"/>
  <c r="F20" i="5"/>
  <c r="AC19" i="5"/>
  <c r="W19" i="5"/>
  <c r="V19" i="5"/>
  <c r="R19" i="5"/>
  <c r="F19" i="5"/>
  <c r="AC18" i="5"/>
  <c r="W18" i="5"/>
  <c r="V18" i="5"/>
  <c r="R18" i="5"/>
  <c r="F18" i="5"/>
  <c r="AC17" i="5"/>
  <c r="W17" i="5"/>
  <c r="V17" i="5"/>
  <c r="R17" i="5"/>
  <c r="F17" i="5"/>
  <c r="AC16" i="5"/>
  <c r="W16" i="5"/>
  <c r="V16" i="5"/>
  <c r="R16" i="5"/>
  <c r="F16" i="5"/>
  <c r="AC15" i="5"/>
  <c r="AB15" i="5"/>
  <c r="AA15" i="5"/>
  <c r="Z15" i="5"/>
  <c r="Y15" i="5"/>
  <c r="X15" i="5"/>
  <c r="W15" i="5"/>
  <c r="V15" i="5"/>
  <c r="U15" i="5"/>
  <c r="T15" i="5"/>
  <c r="S15" i="5"/>
  <c r="R15" i="5"/>
  <c r="Q15" i="5"/>
  <c r="P15" i="5"/>
  <c r="O15" i="5"/>
  <c r="N15" i="5"/>
  <c r="M15" i="5"/>
  <c r="L15" i="5"/>
  <c r="K15" i="5"/>
  <c r="J15" i="5"/>
  <c r="I15" i="5"/>
  <c r="H15" i="5"/>
  <c r="G15" i="5"/>
  <c r="F15" i="5"/>
  <c r="E15" i="5"/>
  <c r="D15" i="5"/>
  <c r="C15" i="5"/>
  <c r="AC14" i="5"/>
  <c r="W14" i="5"/>
  <c r="V14" i="5"/>
  <c r="R14" i="5"/>
  <c r="F14" i="5"/>
  <c r="AC13" i="5"/>
  <c r="W13" i="5"/>
  <c r="V13" i="5"/>
  <c r="R13" i="5"/>
  <c r="F13" i="5"/>
  <c r="AC12" i="5"/>
  <c r="W12" i="5"/>
  <c r="V12" i="5"/>
  <c r="R12" i="5"/>
  <c r="F12" i="5"/>
  <c r="AC11" i="5"/>
  <c r="W11" i="5"/>
  <c r="V11" i="5"/>
  <c r="R11" i="5"/>
  <c r="F11" i="5"/>
  <c r="AC10" i="5"/>
  <c r="W10" i="5"/>
  <c r="V10" i="5"/>
  <c r="R10" i="5"/>
  <c r="F10" i="5"/>
  <c r="AC9" i="5"/>
  <c r="W9" i="5"/>
  <c r="V9" i="5"/>
  <c r="R9" i="5"/>
  <c r="F9" i="5"/>
  <c r="AC8" i="5"/>
  <c r="AB8" i="5"/>
  <c r="AA8" i="5"/>
  <c r="Z8" i="5"/>
  <c r="Y8" i="5"/>
  <c r="X8" i="5"/>
  <c r="W8" i="5"/>
  <c r="V8" i="5"/>
  <c r="U8" i="5"/>
  <c r="T8" i="5"/>
  <c r="S8" i="5"/>
  <c r="R8" i="5"/>
  <c r="Q8" i="5"/>
  <c r="P8" i="5"/>
  <c r="O8" i="5"/>
  <c r="N8" i="5"/>
  <c r="M8" i="5"/>
  <c r="L8" i="5"/>
  <c r="K8" i="5"/>
  <c r="J8" i="5"/>
  <c r="I8" i="5"/>
  <c r="H8" i="5"/>
  <c r="G8" i="5"/>
  <c r="F8" i="5"/>
  <c r="E8" i="5"/>
  <c r="D8" i="5"/>
  <c r="C8" i="5"/>
  <c r="AC7" i="5"/>
  <c r="W7" i="5"/>
  <c r="V7" i="5"/>
  <c r="R7" i="5"/>
  <c r="F7" i="5"/>
  <c r="C66" i="23"/>
  <c r="C65" i="23"/>
  <c r="C64" i="23"/>
  <c r="C63" i="23"/>
  <c r="C62" i="23"/>
  <c r="C61" i="23"/>
  <c r="C60" i="23"/>
  <c r="C59" i="23"/>
  <c r="C58" i="23"/>
  <c r="C57" i="23"/>
  <c r="C56" i="23"/>
  <c r="C55" i="23"/>
  <c r="C54" i="23"/>
  <c r="C53" i="23"/>
  <c r="C52" i="23"/>
  <c r="C51" i="23"/>
  <c r="C50" i="23"/>
  <c r="C49" i="23"/>
  <c r="C48" i="23"/>
  <c r="C47" i="23"/>
  <c r="C46" i="23"/>
  <c r="C45" i="23"/>
  <c r="C44" i="23"/>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B19" i="6"/>
  <c r="B18" i="6"/>
  <c r="F7" i="6"/>
  <c r="B6" i="6"/>
  <c r="B5" i="6"/>
  <c r="B22" i="14" s="1"/>
  <c r="E21" i="50"/>
  <c r="E20" i="50"/>
  <c r="E19" i="50"/>
  <c r="E18" i="50"/>
  <c r="D18" i="50"/>
  <c r="E17" i="50"/>
  <c r="D17" i="50"/>
  <c r="E16" i="50"/>
  <c r="E15" i="50"/>
  <c r="E14" i="50"/>
  <c r="E13" i="50"/>
  <c r="E12" i="50"/>
  <c r="E11" i="50"/>
  <c r="E10" i="50"/>
  <c r="E9" i="50"/>
  <c r="E8" i="50"/>
  <c r="E7" i="50"/>
  <c r="E6" i="50"/>
  <c r="E5" i="50"/>
  <c r="N29" i="20"/>
  <c r="M29" i="20"/>
  <c r="L29" i="20"/>
  <c r="K29" i="20"/>
  <c r="J29" i="20"/>
  <c r="I29" i="20"/>
  <c r="H29" i="20"/>
  <c r="G29" i="20"/>
  <c r="F29" i="20"/>
  <c r="E29" i="20"/>
  <c r="D29" i="20"/>
  <c r="H26" i="20"/>
  <c r="H27" i="20" s="1"/>
  <c r="G26" i="20"/>
  <c r="M27" i="20" s="1"/>
  <c r="E26" i="20"/>
  <c r="E27" i="20" s="1"/>
  <c r="D26" i="20"/>
  <c r="D27" i="20" s="1"/>
  <c r="B26" i="20"/>
  <c r="B27" i="20" s="1"/>
  <c r="B15" i="22" s="1"/>
  <c r="N17" i="49"/>
  <c r="M17" i="49"/>
  <c r="L17" i="49"/>
  <c r="K17" i="49"/>
  <c r="J17" i="49"/>
  <c r="I17" i="49"/>
  <c r="F17" i="49"/>
  <c r="E17" i="49"/>
  <c r="D17" i="49"/>
  <c r="B15" i="49"/>
  <c r="B12" i="14" s="1"/>
  <c r="Q12" i="14" s="1"/>
  <c r="P19" i="19"/>
  <c r="P32" i="14" s="1"/>
  <c r="N17" i="19"/>
  <c r="M17" i="19"/>
  <c r="L17" i="19"/>
  <c r="K17" i="19"/>
  <c r="J17" i="19"/>
  <c r="I17" i="19"/>
  <c r="F17" i="19"/>
  <c r="E17" i="19"/>
  <c r="D17" i="19"/>
  <c r="P15" i="19"/>
  <c r="P14" i="15" s="1"/>
  <c r="O15" i="19"/>
  <c r="O19" i="19" s="1"/>
  <c r="O32" i="14" s="1"/>
  <c r="N15" i="19"/>
  <c r="N14" i="15" s="1"/>
  <c r="M15" i="19"/>
  <c r="M14" i="15" s="1"/>
  <c r="M16" i="15" s="1"/>
  <c r="M20" i="15" s="1"/>
  <c r="M33" i="14" s="1"/>
  <c r="L15" i="19"/>
  <c r="L14" i="15" s="1"/>
  <c r="K15" i="19"/>
  <c r="K14" i="15" s="1"/>
  <c r="K16" i="15" s="1"/>
  <c r="J15" i="19"/>
  <c r="J14" i="15" s="1"/>
  <c r="I15" i="19"/>
  <c r="I14" i="15" s="1"/>
  <c r="I16" i="15" s="1"/>
  <c r="F15" i="19"/>
  <c r="F14" i="15" s="1"/>
  <c r="E15" i="19"/>
  <c r="E14" i="15" s="1"/>
  <c r="D15" i="19"/>
  <c r="D11" i="48" s="1"/>
  <c r="C15" i="19"/>
  <c r="C14" i="15" s="1"/>
  <c r="B15" i="19"/>
  <c r="B14" i="15" s="1"/>
  <c r="P16" i="48"/>
  <c r="P27" i="48" s="1"/>
  <c r="O16" i="48"/>
  <c r="K16" i="48"/>
  <c r="G16" i="48"/>
  <c r="P13" i="48"/>
  <c r="O13" i="48"/>
  <c r="N13" i="48"/>
  <c r="M13" i="48"/>
  <c r="L13" i="48"/>
  <c r="K13" i="48"/>
  <c r="J13" i="48"/>
  <c r="I13" i="48"/>
  <c r="H13" i="48"/>
  <c r="G13" i="48"/>
  <c r="F13" i="48"/>
  <c r="E13" i="48"/>
  <c r="Q13" i="48" s="1"/>
  <c r="D13" i="48"/>
  <c r="C13" i="48"/>
  <c r="B13" i="48"/>
  <c r="B12" i="48"/>
  <c r="Q12" i="48" s="1"/>
  <c r="N11" i="48"/>
  <c r="M11" i="48"/>
  <c r="L11" i="48"/>
  <c r="J11" i="48"/>
  <c r="H11" i="48"/>
  <c r="G11" i="48"/>
  <c r="F11" i="48"/>
  <c r="P10" i="48"/>
  <c r="O10" i="48"/>
  <c r="N10" i="48"/>
  <c r="L10" i="48"/>
  <c r="K10" i="48"/>
  <c r="J10" i="48"/>
  <c r="I10" i="48"/>
  <c r="H10" i="48"/>
  <c r="F10" i="48"/>
  <c r="E10" i="48"/>
  <c r="D10" i="48"/>
  <c r="C10" i="48"/>
  <c r="P9" i="48"/>
  <c r="O9" i="48"/>
  <c r="N9" i="48"/>
  <c r="L9" i="48"/>
  <c r="K9" i="48"/>
  <c r="J9" i="48"/>
  <c r="I9" i="48"/>
  <c r="F9" i="48"/>
  <c r="C9" i="48"/>
  <c r="P8" i="48"/>
  <c r="O8" i="48"/>
  <c r="M8" i="48"/>
  <c r="K8" i="48"/>
  <c r="I8" i="48"/>
  <c r="H8" i="48"/>
  <c r="G8" i="48"/>
  <c r="P7" i="48"/>
  <c r="O7" i="48"/>
  <c r="M7" i="48"/>
  <c r="K7" i="48"/>
  <c r="I7" i="48"/>
  <c r="H7" i="48"/>
  <c r="G7" i="48"/>
  <c r="D7" i="48"/>
  <c r="G5" i="48"/>
  <c r="M4" i="48"/>
  <c r="L4" i="48"/>
  <c r="K4" i="48"/>
  <c r="I4" i="48"/>
  <c r="H4" i="48"/>
  <c r="G4" i="48"/>
  <c r="F74" i="14"/>
  <c r="L73" i="14"/>
  <c r="J73" i="14"/>
  <c r="H73" i="14"/>
  <c r="F73" i="14"/>
  <c r="D73" i="14"/>
  <c r="B73" i="14"/>
  <c r="L72" i="14"/>
  <c r="K72" i="14"/>
  <c r="G72" i="14"/>
  <c r="F72" i="14"/>
  <c r="D72" i="14"/>
  <c r="K62" i="14"/>
  <c r="K63" i="14" s="1"/>
  <c r="I62" i="14"/>
  <c r="G62" i="14"/>
  <c r="G63" i="14" s="1"/>
  <c r="C62" i="14"/>
  <c r="L61" i="14"/>
  <c r="K61" i="14"/>
  <c r="G61" i="14"/>
  <c r="F61" i="14"/>
  <c r="D61" i="14"/>
  <c r="B60" i="14"/>
  <c r="B59" i="14"/>
  <c r="B58" i="14"/>
  <c r="B50" i="14"/>
  <c r="P42" i="14"/>
  <c r="O42" i="14"/>
  <c r="N42" i="14"/>
  <c r="L42" i="14"/>
  <c r="K42" i="14"/>
  <c r="J42" i="14"/>
  <c r="I42" i="14"/>
  <c r="F42" i="14"/>
  <c r="P41" i="14"/>
  <c r="O41" i="14"/>
  <c r="N41" i="14"/>
  <c r="L41" i="14"/>
  <c r="K41" i="14"/>
  <c r="J41" i="14"/>
  <c r="I41" i="14"/>
  <c r="F41" i="14"/>
  <c r="C41" i="14"/>
  <c r="P40" i="14"/>
  <c r="O40" i="14"/>
  <c r="N40" i="14"/>
  <c r="L40" i="14"/>
  <c r="K40" i="14"/>
  <c r="J40" i="14"/>
  <c r="I40" i="14"/>
  <c r="H40" i="14"/>
  <c r="F40" i="14"/>
  <c r="E40" i="14"/>
  <c r="D40" i="14"/>
  <c r="P39" i="14"/>
  <c r="O39" i="14"/>
  <c r="N39" i="14"/>
  <c r="L39" i="14"/>
  <c r="K39" i="14"/>
  <c r="J39" i="14"/>
  <c r="I39" i="14"/>
  <c r="F39" i="14"/>
  <c r="C39" i="14"/>
  <c r="M36" i="14"/>
  <c r="K36" i="14"/>
  <c r="I36" i="14"/>
  <c r="H36" i="14"/>
  <c r="G36" i="14"/>
  <c r="K34" i="14"/>
  <c r="I34" i="14"/>
  <c r="H34" i="14"/>
  <c r="G34" i="14"/>
  <c r="H32" i="14"/>
  <c r="G32" i="14"/>
  <c r="P19" i="14"/>
  <c r="O19" i="14"/>
  <c r="N19" i="14"/>
  <c r="L19" i="14"/>
  <c r="K19" i="14"/>
  <c r="J19" i="14"/>
  <c r="I19" i="14"/>
  <c r="F19" i="14"/>
  <c r="C19" i="14"/>
  <c r="P18" i="14"/>
  <c r="O18" i="14"/>
  <c r="N18" i="14"/>
  <c r="L18" i="14"/>
  <c r="K18" i="14"/>
  <c r="J18" i="14"/>
  <c r="I18" i="14"/>
  <c r="F18" i="14"/>
  <c r="C18" i="14"/>
  <c r="P17" i="14"/>
  <c r="O17" i="14"/>
  <c r="N17" i="14"/>
  <c r="L17" i="14"/>
  <c r="K17" i="14"/>
  <c r="J17" i="14"/>
  <c r="I17" i="14"/>
  <c r="H17" i="14"/>
  <c r="F17" i="14"/>
  <c r="E17" i="14"/>
  <c r="D17" i="14"/>
  <c r="C17" i="14"/>
  <c r="P16" i="14"/>
  <c r="O16" i="14"/>
  <c r="N16" i="14"/>
  <c r="M16" i="14"/>
  <c r="L16" i="14"/>
  <c r="K16" i="14"/>
  <c r="J16" i="14"/>
  <c r="I16" i="14"/>
  <c r="H16" i="14"/>
  <c r="G16" i="14"/>
  <c r="F16" i="14"/>
  <c r="E16" i="14"/>
  <c r="D16" i="14"/>
  <c r="C16" i="14"/>
  <c r="B16" i="14"/>
  <c r="Q16" i="14" s="1"/>
  <c r="P13" i="14"/>
  <c r="O13" i="14"/>
  <c r="M13" i="14"/>
  <c r="K13" i="14"/>
  <c r="I13" i="14"/>
  <c r="H13" i="14"/>
  <c r="G13" i="14"/>
  <c r="M11" i="14"/>
  <c r="K11" i="14"/>
  <c r="I11" i="14"/>
  <c r="H11" i="14"/>
  <c r="G11" i="14"/>
  <c r="H10" i="14"/>
  <c r="G10" i="14"/>
  <c r="P9" i="14"/>
  <c r="N9" i="14"/>
  <c r="M9" i="14"/>
  <c r="L9" i="14"/>
  <c r="K9" i="14"/>
  <c r="J9" i="14"/>
  <c r="I9" i="14"/>
  <c r="H9" i="14"/>
  <c r="G9" i="14"/>
  <c r="F9" i="14"/>
  <c r="D9" i="14"/>
  <c r="A7" i="31"/>
  <c r="A6" i="31"/>
  <c r="B6" i="9" l="1"/>
  <c r="B8" i="9" s="1"/>
  <c r="B6" i="48" s="1"/>
  <c r="Q6" i="48" s="1"/>
  <c r="E15" i="22"/>
  <c r="E31" i="20"/>
  <c r="E39" i="14" s="1"/>
  <c r="H15" i="22"/>
  <c r="H31" i="20"/>
  <c r="H39" i="14" s="1"/>
  <c r="D15" i="22"/>
  <c r="D31" i="20"/>
  <c r="D39" i="14" s="1"/>
  <c r="M15" i="22"/>
  <c r="M31" i="20"/>
  <c r="M39" i="14" s="1"/>
  <c r="M17" i="22"/>
  <c r="G27" i="20"/>
  <c r="H17" i="22"/>
  <c r="I11" i="48"/>
  <c r="K11" i="48"/>
  <c r="I20" i="15"/>
  <c r="I33" i="14" s="1"/>
  <c r="I10" i="14"/>
  <c r="K20" i="15"/>
  <c r="K33" i="14" s="1"/>
  <c r="K5" i="48"/>
  <c r="K10" i="14"/>
  <c r="F19" i="19"/>
  <c r="F32" i="14" s="1"/>
  <c r="J19" i="19"/>
  <c r="J32" i="14" s="1"/>
  <c r="L19" i="19"/>
  <c r="L32" i="14" s="1"/>
  <c r="N19" i="19"/>
  <c r="N32" i="14" s="1"/>
  <c r="K19" i="19"/>
  <c r="K32" i="14" s="1"/>
  <c r="M19" i="19"/>
  <c r="M32" i="14" s="1"/>
  <c r="I19" i="19"/>
  <c r="I32" i="14" s="1"/>
  <c r="J16" i="15"/>
  <c r="J20" i="15" s="1"/>
  <c r="B5" i="15"/>
  <c r="D22" i="16"/>
  <c r="D36" i="14" s="1"/>
  <c r="D13" i="14"/>
  <c r="D8" i="48"/>
  <c r="I101" i="18"/>
  <c r="H16" i="18" s="1"/>
  <c r="H72" i="14" s="1"/>
  <c r="H75" i="14" s="1"/>
  <c r="E101" i="18"/>
  <c r="E16" i="18" s="1"/>
  <c r="E72" i="14" s="1"/>
  <c r="B101" i="18"/>
  <c r="C16" i="18" s="1"/>
  <c r="H101" i="18"/>
  <c r="D101" i="18"/>
  <c r="G101" i="18"/>
  <c r="I16" i="18" s="1"/>
  <c r="I72" i="14" s="1"/>
  <c r="C101" i="18"/>
  <c r="F101" i="18"/>
  <c r="L22" i="16"/>
  <c r="L36" i="14" s="1"/>
  <c r="L8" i="48"/>
  <c r="L25" i="48" s="1"/>
  <c r="L13" i="14"/>
  <c r="E7" i="16"/>
  <c r="F7" i="16"/>
  <c r="J7" i="16"/>
  <c r="N7" i="16"/>
  <c r="B100" i="18"/>
  <c r="C7" i="18" s="1"/>
  <c r="F100" i="18"/>
  <c r="C19" i="18"/>
  <c r="C100" i="18"/>
  <c r="G100" i="18"/>
  <c r="N6" i="15"/>
  <c r="N5" i="15" s="1"/>
  <c r="F9" i="15"/>
  <c r="N10" i="15"/>
  <c r="C18" i="16"/>
  <c r="C8" i="48" s="1"/>
  <c r="B8" i="16"/>
  <c r="B5" i="16" s="1"/>
  <c r="B18" i="16" s="1"/>
  <c r="J8" i="16"/>
  <c r="B10" i="16"/>
  <c r="E11" i="16"/>
  <c r="B14" i="16"/>
  <c r="E15" i="16"/>
  <c r="B7" i="18"/>
  <c r="B61" i="14" s="1"/>
  <c r="D100" i="18"/>
  <c r="H100" i="18"/>
  <c r="L7" i="48"/>
  <c r="L24" i="48" s="1"/>
  <c r="E9" i="15"/>
  <c r="N11" i="16"/>
  <c r="N15" i="16"/>
  <c r="C34" i="16"/>
  <c r="C35" i="16"/>
  <c r="B9" i="15"/>
  <c r="I19" i="18"/>
  <c r="B75" i="14"/>
  <c r="E100" i="18"/>
  <c r="E7" i="18" s="1"/>
  <c r="E61" i="14" s="1"/>
  <c r="E63" i="14" s="1"/>
  <c r="E11" i="48"/>
  <c r="E9" i="14"/>
  <c r="C9" i="14"/>
  <c r="E19" i="19"/>
  <c r="E32" i="14" s="1"/>
  <c r="C11" i="48"/>
  <c r="D19" i="19"/>
  <c r="D32" i="14" s="1"/>
  <c r="D14" i="15"/>
  <c r="D16" i="15" s="1"/>
  <c r="D20" i="15" s="1"/>
  <c r="D33" i="14" s="1"/>
  <c r="B9" i="14"/>
  <c r="B11" i="48"/>
  <c r="E5" i="22"/>
  <c r="E17" i="22" s="1"/>
  <c r="E18" i="14" s="1"/>
  <c r="E19" i="14" s="1"/>
  <c r="D5" i="22"/>
  <c r="D17" i="22" s="1"/>
  <c r="D9" i="48" s="1"/>
  <c r="D26" i="48" s="1"/>
  <c r="E9" i="48"/>
  <c r="E26" i="48" s="1"/>
  <c r="G17" i="14"/>
  <c r="G62" i="22"/>
  <c r="G40" i="14" s="1"/>
  <c r="G10" i="48"/>
  <c r="G27" i="48" s="1"/>
  <c r="M10" i="48"/>
  <c r="M62" i="22"/>
  <c r="M40" i="14" s="1"/>
  <c r="M17" i="14"/>
  <c r="B5" i="22"/>
  <c r="B17" i="22" s="1"/>
  <c r="B9" i="48" s="1"/>
  <c r="H9" i="48"/>
  <c r="H26" i="48" s="1"/>
  <c r="H18" i="14"/>
  <c r="H19" i="14" s="1"/>
  <c r="H21" i="22"/>
  <c r="H41" i="14" s="1"/>
  <c r="H42" i="14" s="1"/>
  <c r="P16" i="15"/>
  <c r="P20" i="15" s="1"/>
  <c r="P33" i="14" s="1"/>
  <c r="P11" i="48"/>
  <c r="I5" i="48"/>
  <c r="I22" i="48" s="1"/>
  <c r="K28" i="48"/>
  <c r="H5" i="48"/>
  <c r="O11" i="48"/>
  <c r="O14" i="15"/>
  <c r="O16" i="15" s="1"/>
  <c r="O20" i="15" s="1"/>
  <c r="O33" i="14" s="1"/>
  <c r="O37" i="14" s="1"/>
  <c r="O47" i="14" s="1"/>
  <c r="O9" i="14"/>
  <c r="M10" i="14"/>
  <c r="M14" i="14" s="1"/>
  <c r="M5" i="48"/>
  <c r="M22" i="48" s="1"/>
  <c r="P10" i="14"/>
  <c r="G28" i="48"/>
  <c r="K14" i="14"/>
  <c r="K20" i="14" s="1"/>
  <c r="K37" i="14"/>
  <c r="K47" i="14" s="1"/>
  <c r="K49" i="14" s="1"/>
  <c r="B16" i="15"/>
  <c r="B5" i="48" s="1"/>
  <c r="I14" i="14"/>
  <c r="I20" i="14" s="1"/>
  <c r="B11" i="14"/>
  <c r="B4" i="48"/>
  <c r="E30" i="48"/>
  <c r="E29" i="48"/>
  <c r="E27" i="48"/>
  <c r="I30" i="48"/>
  <c r="I27" i="48"/>
  <c r="I26" i="48"/>
  <c r="I29" i="48"/>
  <c r="K26" i="48"/>
  <c r="O29" i="48"/>
  <c r="K21" i="48"/>
  <c r="G14" i="14"/>
  <c r="G21" i="48"/>
  <c r="L21" i="48"/>
  <c r="M16" i="48"/>
  <c r="O27" i="48"/>
  <c r="K29" i="48"/>
  <c r="B39" i="13"/>
  <c r="B51" i="13" s="1"/>
  <c r="F5" i="13" s="1"/>
  <c r="F8" i="13" s="1"/>
  <c r="H37" i="14"/>
  <c r="I21" i="48"/>
  <c r="K27" i="48"/>
  <c r="G29" i="48"/>
  <c r="O21" i="48"/>
  <c r="H24" i="48"/>
  <c r="L16" i="48"/>
  <c r="L27" i="48" s="1"/>
  <c r="H14" i="14"/>
  <c r="H21" i="48"/>
  <c r="M21" i="48"/>
  <c r="D24" i="48"/>
  <c r="K24" i="48"/>
  <c r="O25" i="48"/>
  <c r="K25" i="48"/>
  <c r="P11" i="14"/>
  <c r="P12" i="13"/>
  <c r="P34" i="14" s="1"/>
  <c r="P37" i="14" s="1"/>
  <c r="P47" i="14" s="1"/>
  <c r="P4" i="48"/>
  <c r="P21" i="48" s="1"/>
  <c r="D12" i="13"/>
  <c r="D34" i="14" s="1"/>
  <c r="D4" i="48"/>
  <c r="D21" i="48" s="1"/>
  <c r="D11" i="14"/>
  <c r="F23" i="48"/>
  <c r="J23" i="48"/>
  <c r="N23" i="48"/>
  <c r="D25" i="48"/>
  <c r="N26" i="48"/>
  <c r="D28" i="48"/>
  <c r="H28" i="48"/>
  <c r="L28" i="48"/>
  <c r="P28" i="48"/>
  <c r="F30" i="48"/>
  <c r="J30" i="48"/>
  <c r="N30" i="48"/>
  <c r="P25" i="48"/>
  <c r="K22" i="48"/>
  <c r="G23" i="48"/>
  <c r="K23" i="48"/>
  <c r="O23" i="48"/>
  <c r="G25" i="48"/>
  <c r="F26" i="48"/>
  <c r="J26" i="48"/>
  <c r="O26" i="48"/>
  <c r="F27" i="48"/>
  <c r="J27" i="48"/>
  <c r="N27" i="48"/>
  <c r="E28" i="48"/>
  <c r="I28" i="48"/>
  <c r="M28" i="48"/>
  <c r="D29" i="48"/>
  <c r="H29" i="48"/>
  <c r="L29" i="48"/>
  <c r="P29" i="48"/>
  <c r="G30" i="48"/>
  <c r="K30" i="48"/>
  <c r="O30" i="48"/>
  <c r="C22" i="13"/>
  <c r="C21" i="13"/>
  <c r="B35" i="13" s="1"/>
  <c r="B47" i="13" s="1"/>
  <c r="C20" i="13"/>
  <c r="M37" i="14"/>
  <c r="D23" i="48"/>
  <c r="H23" i="48"/>
  <c r="L23" i="48"/>
  <c r="P23" i="48"/>
  <c r="H25" i="48"/>
  <c r="P26" i="48"/>
  <c r="F28" i="48"/>
  <c r="J28" i="48"/>
  <c r="N28" i="48"/>
  <c r="D30" i="48"/>
  <c r="H30" i="48"/>
  <c r="L30" i="48"/>
  <c r="P30" i="48"/>
  <c r="G37" i="14"/>
  <c r="I14" i="48"/>
  <c r="G22" i="48"/>
  <c r="E23" i="48"/>
  <c r="I23" i="48"/>
  <c r="M23" i="48"/>
  <c r="O24" i="48"/>
  <c r="I25" i="48"/>
  <c r="I37" i="14"/>
  <c r="I47" i="14" s="1"/>
  <c r="P5" i="48"/>
  <c r="P22" i="48" s="1"/>
  <c r="O11" i="14"/>
  <c r="O12" i="13"/>
  <c r="O34" i="14" s="1"/>
  <c r="M18" i="14"/>
  <c r="M9" i="48"/>
  <c r="M21" i="22"/>
  <c r="M41" i="14" s="1"/>
  <c r="C61" i="14"/>
  <c r="E9" i="18"/>
  <c r="C9" i="18"/>
  <c r="C63" i="14"/>
  <c r="H9" i="18"/>
  <c r="B10" i="48"/>
  <c r="B17" i="14"/>
  <c r="F7" i="48"/>
  <c r="F24" i="48" s="1"/>
  <c r="F5" i="15"/>
  <c r="F16" i="15" s="1"/>
  <c r="F20" i="15" s="1"/>
  <c r="F33" i="14" s="1"/>
  <c r="E5" i="15"/>
  <c r="E16" i="15" s="1"/>
  <c r="E20" i="15" s="1"/>
  <c r="J5" i="48"/>
  <c r="J22" i="48" s="1"/>
  <c r="B50" i="13"/>
  <c r="J10" i="14"/>
  <c r="J12" i="17"/>
  <c r="J33" i="14" s="1"/>
  <c r="J7" i="48"/>
  <c r="J24" i="48" s="1"/>
  <c r="N7" i="48"/>
  <c r="N24" i="48" s="1"/>
  <c r="N12" i="17"/>
  <c r="P24" i="48"/>
  <c r="E5" i="17"/>
  <c r="E8" i="17" s="1"/>
  <c r="C8" i="17"/>
  <c r="C7" i="48" s="1"/>
  <c r="G24" i="48"/>
  <c r="K14" i="48"/>
  <c r="I24" i="48"/>
  <c r="F11" i="14"/>
  <c r="F12" i="13"/>
  <c r="F34" i="14" s="1"/>
  <c r="F4" i="48"/>
  <c r="F21" i="48" s="1"/>
  <c r="L13" i="15"/>
  <c r="N13" i="15"/>
  <c r="F75" i="14"/>
  <c r="C73" i="14"/>
  <c r="G73" i="14"/>
  <c r="G75" i="14" s="1"/>
  <c r="K73" i="14"/>
  <c r="K75" i="14" s="1"/>
  <c r="E73" i="14"/>
  <c r="I73" i="14"/>
  <c r="D62" i="14"/>
  <c r="D63" i="14" s="1"/>
  <c r="H62" i="14"/>
  <c r="H63" i="14" s="1"/>
  <c r="L62" i="14"/>
  <c r="L63" i="14" s="1"/>
  <c r="D19" i="18"/>
  <c r="H19" i="18"/>
  <c r="L19" i="18"/>
  <c r="B62" i="14"/>
  <c r="B63" i="14" s="1"/>
  <c r="B4" i="6" s="1"/>
  <c r="F62" i="14"/>
  <c r="F63" i="14" s="1"/>
  <c r="J62" i="14"/>
  <c r="D75" i="14"/>
  <c r="L75" i="14"/>
  <c r="B19" i="18"/>
  <c r="F19" i="18"/>
  <c r="C11" i="14"/>
  <c r="C4" i="48"/>
  <c r="C16" i="15"/>
  <c r="M8" i="18"/>
  <c r="M17" i="18"/>
  <c r="M18" i="18"/>
  <c r="M74" i="14" s="1"/>
  <c r="N74" i="14" s="1"/>
  <c r="C13" i="14"/>
  <c r="G15" i="22" l="1"/>
  <c r="G17" i="22" s="1"/>
  <c r="G31" i="20"/>
  <c r="G39" i="14" s="1"/>
  <c r="B13" i="14"/>
  <c r="B8" i="48"/>
  <c r="N12" i="16"/>
  <c r="E12" i="16"/>
  <c r="J12" i="16"/>
  <c r="J5" i="16" s="1"/>
  <c r="J18" i="16" s="1"/>
  <c r="F12" i="16"/>
  <c r="F5" i="16" s="1"/>
  <c r="F18" i="16" s="1"/>
  <c r="F13" i="14" s="1"/>
  <c r="I75" i="14"/>
  <c r="M7" i="18"/>
  <c r="M61" i="14" s="1"/>
  <c r="N61" i="14" s="1"/>
  <c r="D37" i="14"/>
  <c r="I7" i="18"/>
  <c r="J16" i="18"/>
  <c r="B9" i="18"/>
  <c r="P14" i="14"/>
  <c r="P20" i="14" s="1"/>
  <c r="E19" i="18"/>
  <c r="E75" i="14"/>
  <c r="M42" i="14"/>
  <c r="F13" i="16"/>
  <c r="N13" i="16"/>
  <c r="J13" i="16"/>
  <c r="E13" i="16"/>
  <c r="J7" i="18"/>
  <c r="C72" i="14"/>
  <c r="C75" i="14" s="1"/>
  <c r="O10" i="14"/>
  <c r="O14" i="14" s="1"/>
  <c r="O20" i="14" s="1"/>
  <c r="O49" i="14" s="1"/>
  <c r="Q11" i="48"/>
  <c r="O5" i="48"/>
  <c r="O14" i="48" s="1"/>
  <c r="Q9" i="14"/>
  <c r="E21" i="22"/>
  <c r="E41" i="14" s="1"/>
  <c r="E42" i="14" s="1"/>
  <c r="B18" i="14"/>
  <c r="D21" i="22"/>
  <c r="D41" i="14" s="1"/>
  <c r="D42" i="14" s="1"/>
  <c r="D47" i="14" s="1"/>
  <c r="D18" i="14"/>
  <c r="D19" i="14" s="1"/>
  <c r="Q10" i="48"/>
  <c r="M14" i="48"/>
  <c r="H20" i="14"/>
  <c r="H47" i="14"/>
  <c r="H14" i="48"/>
  <c r="M47" i="14"/>
  <c r="B10" i="14"/>
  <c r="B14" i="14" s="1"/>
  <c r="O28" i="48"/>
  <c r="H22" i="48"/>
  <c r="H31" i="48" s="1"/>
  <c r="I49" i="14"/>
  <c r="D10" i="14"/>
  <c r="D14" i="14" s="1"/>
  <c r="D5" i="48"/>
  <c r="D22" i="48" s="1"/>
  <c r="D31" i="48" s="1"/>
  <c r="P49" i="14"/>
  <c r="B34" i="13"/>
  <c r="K31" i="48"/>
  <c r="L26" i="48"/>
  <c r="B36" i="13"/>
  <c r="B48" i="13" s="1"/>
  <c r="C48" i="13" s="1"/>
  <c r="N5" i="13" s="1"/>
  <c r="N8" i="13" s="1"/>
  <c r="N4" i="48" s="1"/>
  <c r="N21" i="48" s="1"/>
  <c r="M30" i="48"/>
  <c r="M29" i="48"/>
  <c r="M25" i="48"/>
  <c r="M27" i="48"/>
  <c r="M24" i="48"/>
  <c r="P31" i="48"/>
  <c r="I31" i="48"/>
  <c r="P14" i="48"/>
  <c r="M26" i="48"/>
  <c r="M19" i="14"/>
  <c r="M20" i="14" s="1"/>
  <c r="B19" i="14"/>
  <c r="Q17" i="14"/>
  <c r="E5" i="48"/>
  <c r="E22" i="48" s="1"/>
  <c r="B46" i="13"/>
  <c r="E5" i="13" s="1"/>
  <c r="E8" i="13" s="1"/>
  <c r="E12" i="13" s="1"/>
  <c r="E34" i="14" s="1"/>
  <c r="F5" i="48"/>
  <c r="F22" i="48" s="1"/>
  <c r="C50" i="13"/>
  <c r="J5" i="13" s="1"/>
  <c r="J8" i="13" s="1"/>
  <c r="E10" i="14"/>
  <c r="E7" i="48"/>
  <c r="E24" i="48" s="1"/>
  <c r="E12" i="17"/>
  <c r="E33" i="14" s="1"/>
  <c r="C10" i="14"/>
  <c r="C14" i="14" s="1"/>
  <c r="C20" i="14" s="1"/>
  <c r="B20" i="6" s="1"/>
  <c r="B22" i="6" s="1"/>
  <c r="C10" i="17" s="1"/>
  <c r="C12" i="17" s="1"/>
  <c r="F10" i="14"/>
  <c r="L16" i="15"/>
  <c r="L5" i="48" s="1"/>
  <c r="N16" i="15"/>
  <c r="N20" i="15" s="1"/>
  <c r="N33" i="14" s="1"/>
  <c r="C5" i="48"/>
  <c r="C14" i="48" s="1"/>
  <c r="M62" i="14"/>
  <c r="M73" i="14"/>
  <c r="B14" i="48"/>
  <c r="G21" i="22" l="1"/>
  <c r="G41" i="14" s="1"/>
  <c r="G42" i="14" s="1"/>
  <c r="G47" i="14" s="1"/>
  <c r="G9" i="48"/>
  <c r="G18" i="14"/>
  <c r="G19" i="14" s="1"/>
  <c r="G20" i="14" s="1"/>
  <c r="J8" i="48"/>
  <c r="J25" i="48" s="1"/>
  <c r="J22" i="16"/>
  <c r="J36" i="14" s="1"/>
  <c r="J13" i="14"/>
  <c r="M9" i="18"/>
  <c r="J72" i="14"/>
  <c r="J75" i="14" s="1"/>
  <c r="J19" i="18"/>
  <c r="C36" i="13"/>
  <c r="M16" i="18"/>
  <c r="I61" i="14"/>
  <c r="I63" i="14" s="1"/>
  <c r="I9" i="18"/>
  <c r="E5" i="16"/>
  <c r="E18" i="16" s="1"/>
  <c r="E8" i="48" s="1"/>
  <c r="E25" i="48" s="1"/>
  <c r="C35" i="13"/>
  <c r="J61" i="14"/>
  <c r="J63" i="14" s="1"/>
  <c r="J9" i="18"/>
  <c r="N5" i="16"/>
  <c r="N18" i="16" s="1"/>
  <c r="N8" i="48" s="1"/>
  <c r="N25" i="48" s="1"/>
  <c r="O22" i="48"/>
  <c r="O31" i="48" s="1"/>
  <c r="B20" i="14"/>
  <c r="B3" i="6" s="1"/>
  <c r="M49" i="14"/>
  <c r="H49" i="14"/>
  <c r="D20" i="14"/>
  <c r="D49" i="14" s="1"/>
  <c r="G49" i="14"/>
  <c r="D14" i="48"/>
  <c r="N12" i="13"/>
  <c r="N34" i="14" s="1"/>
  <c r="N11" i="14"/>
  <c r="C38" i="13"/>
  <c r="C39" i="13"/>
  <c r="C32" i="13"/>
  <c r="M31" i="48"/>
  <c r="C34" i="13"/>
  <c r="Q7" i="48"/>
  <c r="N22" i="16"/>
  <c r="N36" i="14" s="1"/>
  <c r="N37" i="14" s="1"/>
  <c r="N47" i="14" s="1"/>
  <c r="F8" i="48"/>
  <c r="F25" i="48" s="1"/>
  <c r="F31" i="48" s="1"/>
  <c r="E13" i="14"/>
  <c r="E22" i="16"/>
  <c r="E36" i="14" s="1"/>
  <c r="E37" i="14" s="1"/>
  <c r="E47" i="14" s="1"/>
  <c r="F22" i="16"/>
  <c r="F36" i="14" s="1"/>
  <c r="F37" i="14" s="1"/>
  <c r="F47" i="14" s="1"/>
  <c r="F14" i="14"/>
  <c r="F20" i="14" s="1"/>
  <c r="E4" i="48"/>
  <c r="E21" i="48" s="1"/>
  <c r="E31" i="48" s="1"/>
  <c r="E11" i="14"/>
  <c r="J4" i="48"/>
  <c r="J12" i="13"/>
  <c r="J34" i="14" s="1"/>
  <c r="J37" i="14" s="1"/>
  <c r="J47" i="14" s="1"/>
  <c r="J11" i="14"/>
  <c r="J14" i="14" s="1"/>
  <c r="J20" i="14" s="1"/>
  <c r="N5" i="48"/>
  <c r="Q5" i="48" s="1"/>
  <c r="L22" i="48"/>
  <c r="L31" i="48" s="1"/>
  <c r="L14" i="48"/>
  <c r="L20" i="15"/>
  <c r="L33" i="14" s="1"/>
  <c r="L37" i="14" s="1"/>
  <c r="L47" i="14" s="1"/>
  <c r="N10" i="14"/>
  <c r="L10" i="14"/>
  <c r="L14" i="14" s="1"/>
  <c r="L20" i="14" s="1"/>
  <c r="F14" i="48"/>
  <c r="C60" i="22"/>
  <c r="C62" i="22" s="1"/>
  <c r="C40" i="14" s="1"/>
  <c r="C42" i="14" s="1"/>
  <c r="C29" i="20"/>
  <c r="C20" i="16"/>
  <c r="C22" i="16" s="1"/>
  <c r="C36" i="14" s="1"/>
  <c r="C10" i="13"/>
  <c r="C16" i="48" s="1"/>
  <c r="C17" i="49"/>
  <c r="C17" i="19"/>
  <c r="C19" i="19" s="1"/>
  <c r="C32" i="14" s="1"/>
  <c r="C18" i="15"/>
  <c r="C20" i="15" s="1"/>
  <c r="C33" i="14" s="1"/>
  <c r="C19" i="22"/>
  <c r="M63" i="14"/>
  <c r="B9" i="6" s="1"/>
  <c r="N62" i="14"/>
  <c r="N73" i="14"/>
  <c r="Q18" i="14" l="1"/>
  <c r="Q19" i="14" s="1"/>
  <c r="G26" i="48"/>
  <c r="G31" i="48" s="1"/>
  <c r="G14" i="48"/>
  <c r="Q9" i="48"/>
  <c r="M72" i="14"/>
  <c r="M19" i="18"/>
  <c r="N13" i="14"/>
  <c r="B12" i="6"/>
  <c r="B60" i="22" s="1"/>
  <c r="B62" i="22" s="1"/>
  <c r="B40" i="14" s="1"/>
  <c r="Q40" i="14" s="1"/>
  <c r="E14" i="14"/>
  <c r="E20" i="14" s="1"/>
  <c r="E49" i="14" s="1"/>
  <c r="Q8" i="48"/>
  <c r="Q13" i="14"/>
  <c r="N14" i="14"/>
  <c r="N20" i="14" s="1"/>
  <c r="N49" i="14" s="1"/>
  <c r="F49" i="14"/>
  <c r="E14" i="48"/>
  <c r="Q4" i="48"/>
  <c r="N22" i="48"/>
  <c r="N31" i="48" s="1"/>
  <c r="N14" i="48"/>
  <c r="J49" i="14"/>
  <c r="Q11" i="14"/>
  <c r="J21" i="48"/>
  <c r="J31" i="48" s="1"/>
  <c r="J14" i="48"/>
  <c r="L49" i="14"/>
  <c r="Q10" i="14"/>
  <c r="C12" i="13"/>
  <c r="C34" i="14" s="1"/>
  <c r="C37" i="14" s="1"/>
  <c r="C47" i="14" s="1"/>
  <c r="C49" i="14" s="1"/>
  <c r="C30" i="48"/>
  <c r="C29" i="48"/>
  <c r="C28" i="48"/>
  <c r="C27" i="48"/>
  <c r="C26" i="48"/>
  <c r="C25" i="48"/>
  <c r="C24" i="48"/>
  <c r="C23" i="48"/>
  <c r="C21" i="48"/>
  <c r="C22" i="48"/>
  <c r="N72" i="14" l="1"/>
  <c r="M75" i="14"/>
  <c r="B17" i="6" s="1"/>
  <c r="B10" i="9"/>
  <c r="B12" i="9" s="1"/>
  <c r="B19" i="22"/>
  <c r="B21" i="22" s="1"/>
  <c r="B41" i="14" s="1"/>
  <c r="Q41" i="14" s="1"/>
  <c r="B18" i="15"/>
  <c r="B20" i="15" s="1"/>
  <c r="B17" i="49"/>
  <c r="B19" i="49" s="1"/>
  <c r="B35" i="14" s="1"/>
  <c r="Q35" i="14" s="1"/>
  <c r="B29" i="20"/>
  <c r="B31" i="20" s="1"/>
  <c r="B39" i="14" s="1"/>
  <c r="Q39" i="14" s="1"/>
  <c r="B17" i="19"/>
  <c r="B19" i="19" s="1"/>
  <c r="B32" i="14" s="1"/>
  <c r="Q32" i="14" s="1"/>
  <c r="B10" i="17"/>
  <c r="B12" i="17" s="1"/>
  <c r="B10" i="13"/>
  <c r="B12" i="13" s="1"/>
  <c r="B34" i="14" s="1"/>
  <c r="Q34" i="14" s="1"/>
  <c r="B20" i="16"/>
  <c r="B22" i="16" s="1"/>
  <c r="B36" i="14" s="1"/>
  <c r="Q36" i="14" s="1"/>
  <c r="Q14" i="48"/>
  <c r="Q14" i="14"/>
  <c r="Q20" i="14" s="1"/>
  <c r="C31" i="48"/>
  <c r="Q42" i="14" l="1"/>
  <c r="B42" i="14"/>
  <c r="B33" i="14"/>
  <c r="Q33" i="14" s="1"/>
  <c r="Q37" i="14" s="1"/>
  <c r="B16" i="48"/>
  <c r="B28" i="48" s="1"/>
  <c r="Q28" i="48" s="1"/>
  <c r="Q47" i="14" l="1"/>
  <c r="B37" i="14"/>
  <c r="B47" i="14" s="1"/>
  <c r="B49" i="14" s="1"/>
  <c r="B27" i="48"/>
  <c r="Q27" i="48" s="1"/>
  <c r="B26" i="48"/>
  <c r="Q26" i="48" s="1"/>
  <c r="B23" i="48"/>
  <c r="Q23" i="48" s="1"/>
  <c r="B25" i="48"/>
  <c r="Q25" i="48" s="1"/>
  <c r="B29" i="48"/>
  <c r="Q29" i="48" s="1"/>
  <c r="B21" i="48"/>
  <c r="Q21" i="48" s="1"/>
  <c r="B24" i="48"/>
  <c r="Q24" i="48" s="1"/>
  <c r="B22" i="48"/>
  <c r="Q22" i="48" s="1"/>
  <c r="B30" i="48"/>
  <c r="Q30" i="48" s="1"/>
  <c r="Q31" i="48" l="1"/>
  <c r="B31" i="48"/>
</calcChain>
</file>

<file path=xl/comments1.xml><?xml version="1.0" encoding="utf-8"?>
<comments xmlns="http://schemas.openxmlformats.org/spreadsheetml/2006/main">
  <authors>
    <author>Aernouts Kristien</author>
  </authors>
  <commentList>
    <comment ref="A10" authorId="0">
      <text>
        <r>
          <rPr>
            <b/>
            <sz val="9"/>
            <color indexed="81"/>
            <rFont val="Tahoma"/>
            <family val="2"/>
          </rPr>
          <t>Aernouts Kristien:</t>
        </r>
        <r>
          <rPr>
            <sz val="9"/>
            <color indexed="81"/>
            <rFont val="Tahoma"/>
            <family val="2"/>
          </rPr>
          <t xml:space="preserve">
incl. landbouw, (niet-gemeentelijke) openbare verlichting)</t>
        </r>
      </text>
    </comment>
    <comment ref="A33" authorId="0">
      <text>
        <r>
          <rPr>
            <b/>
            <sz val="9"/>
            <color indexed="81"/>
            <rFont val="Tahoma"/>
            <family val="2"/>
          </rPr>
          <t>Aernouts Kristien:</t>
        </r>
        <r>
          <rPr>
            <sz val="9"/>
            <color indexed="81"/>
            <rFont val="Tahoma"/>
            <family val="2"/>
          </rPr>
          <t xml:space="preserve">
incl. landbouw, (niet-gemeentelijke) openbare verlichting)</t>
        </r>
      </text>
    </comment>
  </commentList>
</comments>
</file>

<file path=xl/comments2.xml><?xml version="1.0" encoding="utf-8"?>
<comments xmlns="http://schemas.openxmlformats.org/spreadsheetml/2006/main">
  <authors>
    <author>Aernouts Kristien</author>
  </authors>
  <commentList>
    <comment ref="Z25" authorId="0">
      <text>
        <r>
          <rPr>
            <b/>
            <sz val="9"/>
            <color indexed="81"/>
            <rFont val="Tahoma"/>
            <family val="2"/>
          </rPr>
          <t>Aernouts Kristien:</t>
        </r>
        <r>
          <rPr>
            <sz val="9"/>
            <color indexed="81"/>
            <rFont val="Tahoma"/>
            <family val="2"/>
          </rPr>
          <t xml:space="preserve">
netto afname
</t>
        </r>
      </text>
    </comment>
    <comment ref="Z26" authorId="0">
      <text>
        <r>
          <rPr>
            <b/>
            <sz val="9"/>
            <color indexed="81"/>
            <rFont val="Tahoma"/>
            <family val="2"/>
          </rPr>
          <t>Aernouts Kristien:</t>
        </r>
        <r>
          <rPr>
            <sz val="9"/>
            <color indexed="81"/>
            <rFont val="Tahoma"/>
            <family val="2"/>
          </rPr>
          <t xml:space="preserve">
bruto afname </t>
        </r>
      </text>
    </comment>
  </commentList>
</comments>
</file>

<file path=xl/comments3.xml><?xml version="1.0" encoding="utf-8"?>
<comments xmlns="http://schemas.openxmlformats.org/spreadsheetml/2006/main">
  <authors>
    <author>meynaere</author>
    <author>Aernouts Kristien</author>
  </authors>
  <commentList>
    <comment ref="D3" authorId="0">
      <text>
        <r>
          <rPr>
            <b/>
            <sz val="9"/>
            <color indexed="81"/>
            <rFont val="Tahoma"/>
            <family val="2"/>
          </rPr>
          <t>meynaere:</t>
        </r>
        <r>
          <rPr>
            <sz val="9"/>
            <color indexed="81"/>
            <rFont val="Tahoma"/>
            <family val="2"/>
          </rPr>
          <t xml:space="preserve">
x0,902:  bovenste verbrandingswaarde =&gt;onderste verbrandingswaarde</t>
        </r>
      </text>
    </comment>
    <comment ref="B38" authorId="1">
      <text>
        <r>
          <rPr>
            <b/>
            <sz val="9"/>
            <color indexed="81"/>
            <rFont val="Tahoma"/>
            <family val="2"/>
          </rPr>
          <t>Aernouts Kristien:</t>
        </r>
        <r>
          <rPr>
            <sz val="9"/>
            <color indexed="81"/>
            <rFont val="Tahoma"/>
            <family val="2"/>
          </rPr>
          <t xml:space="preserve">
10% van de aardgasstijging eraf</t>
        </r>
      </text>
    </comment>
    <comment ref="B39" authorId="1">
      <text>
        <r>
          <rPr>
            <b/>
            <sz val="9"/>
            <color indexed="81"/>
            <rFont val="Tahoma"/>
            <family val="2"/>
          </rPr>
          <t>Aernouts Kristien:</t>
        </r>
        <r>
          <rPr>
            <sz val="9"/>
            <color indexed="81"/>
            <rFont val="Tahoma"/>
            <family val="2"/>
          </rPr>
          <t xml:space="preserve">
90% van de aardgasstijging eraf</t>
        </r>
      </text>
    </comment>
    <comment ref="C48" authorId="1">
      <text>
        <r>
          <rPr>
            <b/>
            <sz val="9"/>
            <color indexed="81"/>
            <rFont val="Tahoma"/>
            <family val="2"/>
          </rPr>
          <t>Aernouts Kristien:</t>
        </r>
        <r>
          <rPr>
            <sz val="9"/>
            <color indexed="81"/>
            <rFont val="Tahoma"/>
            <family val="2"/>
          </rPr>
          <t xml:space="preserve">
10x zoveel als hoofdverw</t>
        </r>
      </text>
    </comment>
    <comment ref="C50" authorId="1">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authors>
    <author>meynaere</author>
  </authors>
  <commentList>
    <comment ref="D3" authorId="0">
      <text>
        <r>
          <rPr>
            <b/>
            <sz val="9"/>
            <color indexed="81"/>
            <rFont val="Tahoma"/>
            <family val="2"/>
          </rPr>
          <t>meynaere:</t>
        </r>
        <r>
          <rPr>
            <sz val="9"/>
            <color indexed="81"/>
            <rFont val="Tahoma"/>
            <family val="2"/>
          </rPr>
          <t xml:space="preserve">
x0,902: bovenste verbrandingswaarde =&gt; onderste verbrandingswaarde</t>
        </r>
      </text>
    </comment>
    <comment ref="F3" authorId="0">
      <text>
        <r>
          <rPr>
            <b/>
            <sz val="9"/>
            <color indexed="81"/>
            <rFont val="Tahoma"/>
            <family val="2"/>
          </rPr>
          <t>meynaere:</t>
        </r>
        <r>
          <rPr>
            <sz val="9"/>
            <color indexed="81"/>
            <rFont val="Tahoma"/>
            <family val="2"/>
          </rPr>
          <t xml:space="preserve">
lichte en zware stookolie</t>
        </r>
      </text>
    </comment>
    <comment ref="J3" authorId="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authors>
    <author>meynaere</author>
    <author>Aernouts Kristien</author>
  </authors>
  <commentList>
    <comment ref="D3" authorId="0">
      <text>
        <r>
          <rPr>
            <b/>
            <sz val="9"/>
            <color indexed="81"/>
            <rFont val="Tahoma"/>
            <family val="2"/>
          </rPr>
          <t>meynaere:</t>
        </r>
        <r>
          <rPr>
            <sz val="9"/>
            <color indexed="81"/>
            <rFont val="Tahoma"/>
            <family val="2"/>
          </rPr>
          <t xml:space="preserve">
x0,902: bovenste verbrandingswaarde =&gt; onderste verbrandingswaarde</t>
        </r>
      </text>
    </comment>
    <comment ref="F3" authorId="1">
      <text>
        <r>
          <rPr>
            <b/>
            <sz val="9"/>
            <color indexed="81"/>
            <rFont val="Tahoma"/>
            <family val="2"/>
          </rPr>
          <t>Aernouts Kristien:</t>
        </r>
        <r>
          <rPr>
            <sz val="9"/>
            <color indexed="81"/>
            <rFont val="Tahoma"/>
            <family val="2"/>
          </rPr>
          <t xml:space="preserve">
lichte en zware stookolie</t>
        </r>
      </text>
    </comment>
    <comment ref="J3" authorId="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authors>
    <author>meynaere</author>
    <author>Aernouts Kristien</author>
  </authors>
  <commentList>
    <comment ref="D3" authorId="0">
      <text>
        <r>
          <rPr>
            <b/>
            <sz val="9"/>
            <color indexed="81"/>
            <rFont val="Tahoma"/>
            <family val="2"/>
          </rPr>
          <t>meynaere:</t>
        </r>
        <r>
          <rPr>
            <sz val="9"/>
            <color indexed="81"/>
            <rFont val="Tahoma"/>
            <family val="2"/>
          </rPr>
          <t xml:space="preserve">
x0,902: bovenste verbrandingswaarde =&gt; onderste verbrandingswaarde</t>
        </r>
      </text>
    </comment>
    <comment ref="F3" authorId="0">
      <text>
        <r>
          <rPr>
            <b/>
            <sz val="9"/>
            <color indexed="81"/>
            <rFont val="Tahoma"/>
            <family val="2"/>
          </rPr>
          <t>meynaere:</t>
        </r>
        <r>
          <rPr>
            <sz val="9"/>
            <color indexed="81"/>
            <rFont val="Tahoma"/>
            <family val="2"/>
          </rPr>
          <t xml:space="preserve">
lichte en zware stookolie</t>
        </r>
      </text>
    </comment>
    <comment ref="G3" authorId="0">
      <text>
        <r>
          <rPr>
            <b/>
            <sz val="9"/>
            <color indexed="81"/>
            <rFont val="Tahoma"/>
            <family val="2"/>
          </rPr>
          <t>meynaere:</t>
        </r>
        <r>
          <rPr>
            <sz val="9"/>
            <color indexed="81"/>
            <rFont val="Tahoma"/>
            <family val="2"/>
          </rPr>
          <t xml:space="preserve">
cf. stookolie</t>
        </r>
      </text>
    </comment>
    <comment ref="J3" authorId="0">
      <text>
        <r>
          <rPr>
            <b/>
            <sz val="9"/>
            <color indexed="81"/>
            <rFont val="Tahoma"/>
            <family val="2"/>
          </rPr>
          <t>meynaere:</t>
        </r>
        <r>
          <rPr>
            <sz val="9"/>
            <color indexed="81"/>
            <rFont val="Tahoma"/>
            <family val="2"/>
          </rPr>
          <t xml:space="preserve">
kolen en cokes</t>
        </r>
      </text>
    </comment>
    <comment ref="L5" authorId="1">
      <text>
        <r>
          <rPr>
            <b/>
            <sz val="9"/>
            <color indexed="81"/>
            <rFont val="Tahoma"/>
            <family val="2"/>
          </rPr>
          <t>Aernouts Kristien:</t>
        </r>
        <r>
          <rPr>
            <sz val="9"/>
            <color indexed="81"/>
            <rFont val="Tahoma"/>
            <family val="2"/>
          </rPr>
          <t xml:space="preserve">
idem biomassa</t>
        </r>
      </text>
    </comment>
    <comment ref="N5" authorId="1">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7.xml><?xml version="1.0" encoding="utf-8"?>
<comments xmlns="http://schemas.openxmlformats.org/spreadsheetml/2006/main">
  <authors>
    <author>meynaere</author>
  </authors>
  <commentList>
    <comment ref="A8" authorId="0">
      <text>
        <r>
          <rPr>
            <b/>
            <sz val="9"/>
            <color indexed="81"/>
            <rFont val="Tahoma"/>
            <family val="2"/>
          </rPr>
          <t>meynaere:</t>
        </r>
        <r>
          <rPr>
            <sz val="9"/>
            <color indexed="81"/>
            <rFont val="Tahoma"/>
            <family val="2"/>
          </rPr>
          <t xml:space="preserve">
incl. afvalverbranding met energierecuperatie</t>
        </r>
      </text>
    </comment>
    <comment ref="A18" authorId="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<sst xmlns="http://schemas.openxmlformats.org/spreadsheetml/2006/main" count="1966" uniqueCount="773">
  <si>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</si>
  <si>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</si>
  <si>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</si>
  <si>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</si>
  <si>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</si>
  <si>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</si>
  <si>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</si>
  <si>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</si>
  <si>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</si>
  <si>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</si>
  <si>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</si>
  <si>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</si>
  <si>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</si>
  <si>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</si>
  <si>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</si>
  <si>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</si>
  <si>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</si>
  <si>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</si>
  <si>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</si>
  <si>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</si>
  <si>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Gas</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</si>
  <si>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</si>
  <si>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</si>
  <si>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</si>
  <si>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</si>
  <si>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</si>
  <si>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</si>
  <si>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</si>
  <si>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</si>
  <si>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</si>
  <si>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</si>
  <si>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</si>
  <si>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</si>
  <si>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</si>
  <si>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</si>
  <si>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</si>
  <si>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</si>
  <si>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</si>
  <si>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</si>
  <si>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</si>
  <si>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</si>
  <si>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</si>
  <si>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</si>
  <si>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</si>
  <si>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</si>
  <si>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</si>
  <si>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</si>
  <si>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</si>
  <si>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</si>
  <si>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</si>
  <si>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</si>
  <si>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</si>
  <si>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</si>
  <si>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</si>
  <si>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</si>
  <si>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</si>
  <si>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</si>
  <si>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</si>
  <si>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</si>
  <si>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</si>
  <si>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</si>
  <si>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</si>
  <si>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</si>
  <si>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</si>
  <si>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</si>
  <si>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Lichte vrachtwagens</t>
  </si>
  <si>
    <t>Personenwagens</t>
  </si>
  <si>
    <t>Zware vrachtwagens</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</si>
  <si>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</si>
  <si>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</si>
  <si>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</si>
  <si>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</si>
  <si>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</si>
  <si>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</si>
  <si>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</si>
  <si>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</si>
  <si>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</si>
  <si>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</si>
  <si>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</si>
  <si>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</si>
  <si>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</si>
  <si>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</si>
  <si>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</si>
  <si>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</si>
  <si>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</si>
  <si>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</si>
  <si>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</si>
  <si>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</si>
  <si>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</si>
  <si>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</si>
  <si>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</si>
  <si>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</si>
  <si>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</si>
  <si>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</si>
  <si>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</si>
  <si>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Producent</t>
  </si>
  <si>
    <t>Adres producent</t>
  </si>
  <si>
    <t>Warmtekracht-installatie</t>
  </si>
  <si>
    <t>Technologie</t>
  </si>
  <si>
    <t>technologie2</t>
  </si>
  <si>
    <t>Adres installatie</t>
  </si>
  <si>
    <t>Datum indienstname of laatste ingrijpende wijziging</t>
  </si>
  <si>
    <t>Datum eerste toekenning WKC of GS</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</si>
  <si>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</si>
  <si>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</si>
  <si>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</si>
  <si>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</si>
  <si>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</si>
  <si>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</si>
  <si>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</si>
  <si>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</si>
  <si>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</si>
  <si>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</si>
  <si>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</si>
  <si>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</si>
  <si>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</si>
  <si>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</si>
  <si>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</si>
  <si>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</si>
  <si>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</si>
  <si>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</si>
  <si>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</si>
  <si>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</si>
  <si>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</si>
  <si>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</si>
  <si>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</si>
  <si>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</si>
  <si>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</si>
  <si>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</si>
  <si>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</si>
  <si>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</si>
  <si>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</si>
  <si>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</si>
  <si>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</si>
  <si>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</si>
  <si>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</si>
  <si>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</si>
  <si>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</si>
  <si>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</si>
  <si>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</si>
  <si>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</si>
  <si>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</si>
  <si>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</si>
  <si>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</si>
  <si>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</si>
  <si>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</si>
  <si>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</si>
  <si>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</si>
  <si>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</si>
  <si>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</si>
  <si>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</si>
  <si>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</si>
  <si>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</si>
  <si>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</si>
  <si>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</si>
  <si>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</si>
  <si>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</si>
  <si>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</si>
  <si>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</si>
  <si>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</si>
  <si>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</si>
  <si>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</si>
  <si>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</si>
  <si>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</si>
  <si>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</si>
  <si>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</si>
  <si>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</si>
  <si>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</si>
  <si>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</si>
  <si>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</si>
  <si>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</si>
  <si>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zeevisserij</t>
  </si>
  <si>
    <t>bosbouw</t>
  </si>
  <si>
    <t>groenvoorziening</t>
  </si>
  <si>
    <t>MWh</t>
  </si>
  <si>
    <t>lokale elektriciteitsproductie (tabel C)</t>
  </si>
  <si>
    <t>nationale emissiefactor</t>
  </si>
  <si>
    <t>ton/MWh</t>
  </si>
  <si>
    <t>CO2 emisssies België (2011)</t>
  </si>
  <si>
    <t>ton</t>
  </si>
  <si>
    <t>netto elektriciteitsproductie België (2011)</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</si>
  <si>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</si>
  <si>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</si>
  <si>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</si>
  <si>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</si>
  <si>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</si>
  <si>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</si>
  <si>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</si>
  <si>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</si>
  <si>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</si>
  <si>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</si>
  <si>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</si>
  <si>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</si>
  <si>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</si>
  <si>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</si>
  <si>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</si>
  <si>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</si>
  <si>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</si>
  <si>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</si>
  <si>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</si>
  <si>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</si>
  <si>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</si>
  <si>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</si>
  <si>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</si>
  <si>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</si>
  <si>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</si>
  <si>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</si>
  <si>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</si>
  <si>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</si>
  <si>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</si>
  <si>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</si>
  <si>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</si>
  <si>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</si>
  <si>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</si>
  <si>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</si>
  <si>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</si>
  <si>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</si>
  <si>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</si>
  <si>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</si>
  <si>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</si>
  <si>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</si>
  <si>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type energiedrager 2001</t>
  </si>
  <si>
    <t>aantallen</t>
  </si>
  <si>
    <t>% verdeling</t>
  </si>
  <si>
    <t>aantal huishoudens 2011</t>
  </si>
  <si>
    <t>aantal afnemers aardgas 2011</t>
  </si>
  <si>
    <t>inschatting type energiedrager 2011</t>
  </si>
  <si>
    <t>MWh hoofdverw/hh (2011)</t>
  </si>
  <si>
    <t>MWh bijverwarming/hh (2011)</t>
  </si>
  <si>
    <t>MWh/m2/jaar</t>
  </si>
  <si>
    <t>zie verder</t>
  </si>
  <si>
    <t>% verdeling (ex stookolie, ex aardgas, ex WP, ex niet gespec)</t>
  </si>
  <si>
    <t>A. Finaal energieverbruik</t>
  </si>
  <si>
    <t>Categorie</t>
  </si>
  <si>
    <t>Gemeentelijke gebouwen en installaties/voorzieningen</t>
  </si>
  <si>
    <t>Tertiaire (niet-gemeentelijke) gebouwen en installaties/voorzieningen</t>
  </si>
  <si>
    <t>Woningen</t>
  </si>
  <si>
    <t>Bedrijven (met uitzondering van bedrijven die onder de EU-regeling voor de handel in emissierechten vallen - ETS)</t>
  </si>
  <si>
    <t>Subtotaal gebouwen, installaties/voorzieningen en bedrijven</t>
  </si>
  <si>
    <t>VERVOER</t>
  </si>
  <si>
    <t>Wagenpark van de stad of gemeente</t>
  </si>
  <si>
    <t xml:space="preserve">Openbaar vervoer </t>
  </si>
  <si>
    <t>Subtotaal vervoer</t>
  </si>
  <si>
    <t>B. Emissies van broeikasgassen</t>
  </si>
  <si>
    <t>Warmte/ koude</t>
  </si>
  <si>
    <t>Steen-kool</t>
  </si>
  <si>
    <t>Plantaardige olie</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</si>
  <si>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</si>
  <si>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</si>
  <si>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</si>
  <si>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</si>
  <si>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</si>
  <si>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</si>
  <si>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</si>
  <si>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</si>
  <si>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</si>
  <si>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</si>
  <si>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</si>
  <si>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</si>
  <si>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</si>
  <si>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</si>
  <si>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</si>
  <si>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</si>
  <si>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</si>
  <si>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</si>
  <si>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</si>
  <si>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</si>
  <si>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</si>
  <si>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</si>
  <si>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</si>
  <si>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</si>
  <si>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</si>
  <si>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</si>
  <si>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</si>
  <si>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</si>
  <si>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</si>
  <si>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</si>
  <si>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</si>
  <si>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</si>
  <si>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</si>
  <si>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</si>
  <si>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</si>
  <si>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</si>
  <si>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</si>
  <si>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</si>
  <si>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</si>
  <si>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</si>
  <si>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</si>
  <si>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</si>
  <si>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</si>
  <si>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</si>
  <si>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</si>
  <si>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</si>
  <si>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</si>
  <si>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</si>
  <si>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</si>
  <si>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</si>
  <si>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</si>
  <si>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</si>
  <si>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</si>
  <si>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</si>
  <si>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</si>
  <si>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</si>
  <si>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</si>
  <si>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</si>
  <si>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</si>
  <si>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</si>
  <si>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</si>
  <si>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</si>
  <si>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</si>
  <si>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</si>
  <si>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</si>
  <si>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</si>
  <si>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</si>
  <si>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</si>
  <si>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</si>
  <si>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</si>
  <si>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</si>
  <si>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</si>
  <si>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</si>
  <si>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</si>
  <si>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</si>
  <si>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</si>
  <si>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</si>
  <si>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</si>
  <si>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Petrol Hybrid CS</t>
  </si>
  <si>
    <t>Diesel hybrid CS</t>
  </si>
  <si>
    <t>Diesel hybrid PHEV</t>
  </si>
  <si>
    <t>electric</t>
  </si>
  <si>
    <t>Wegtype</t>
  </si>
  <si>
    <t>Brandstoftechnologie</t>
  </si>
  <si>
    <t>Brandstof</t>
  </si>
  <si>
    <t>EnergieConsumptieFactor (PJ per km)</t>
  </si>
  <si>
    <t>Check (100%)</t>
  </si>
  <si>
    <t>Diesel Hybrid CS</t>
  </si>
  <si>
    <t>Diesel Hybrid PHEV</t>
  </si>
  <si>
    <t>Petrol Hybrid PHEV</t>
  </si>
  <si>
    <t>kg/l</t>
  </si>
  <si>
    <t>2011*</t>
  </si>
  <si>
    <t>GJ/kg</t>
  </si>
  <si>
    <t>diesel</t>
  </si>
  <si>
    <t>biodiesel</t>
  </si>
  <si>
    <t>vol% liter</t>
  </si>
  <si>
    <t>gew% kg</t>
  </si>
  <si>
    <t>J%</t>
  </si>
  <si>
    <t>benzine</t>
  </si>
  <si>
    <t>bioethanol</t>
  </si>
  <si>
    <t xml:space="preserve">gew% kg </t>
  </si>
  <si>
    <t>Voertuigtype_wegtype</t>
  </si>
  <si>
    <t>Lichte vrachtwagens_Genummerde wegen</t>
  </si>
  <si>
    <t>Personenwagens_Genummerde wegen</t>
  </si>
  <si>
    <t>Zware vrachtwagens_Genummerde wegen</t>
  </si>
  <si>
    <t>Lichte vrachtwagens_Niet-genummerde wegen</t>
  </si>
  <si>
    <t>Personenwagens_Niet-genummerde wegen</t>
  </si>
  <si>
    <t>Zware vrachtwagens_Niet-genummerde wegen</t>
  </si>
  <si>
    <t>Lichte vrachtwagens_Snelwegen</t>
  </si>
  <si>
    <t>Personenwagens_Snelwegen</t>
  </si>
  <si>
    <t>Zware vrachtwagens_Snelwegen</t>
  </si>
  <si>
    <t>Eigen vloot</t>
  </si>
  <si>
    <t>Benzine hybrid CS</t>
  </si>
  <si>
    <t>Benzine hybrid PHEV</t>
  </si>
  <si>
    <t>Particulier en commercieel vervoer  totaal (PJ)</t>
  </si>
  <si>
    <t>Tram</t>
  </si>
  <si>
    <t>Bus</t>
  </si>
  <si>
    <t>Openbaar vervoer totaal (PJ)</t>
  </si>
  <si>
    <t>Ruraal</t>
  </si>
  <si>
    <t>Diesel hybride CS</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</si>
  <si>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</si>
  <si>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</si>
  <si>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</si>
  <si>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</si>
  <si>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</si>
  <si>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</si>
  <si>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</si>
  <si>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</si>
  <si>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</si>
  <si>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</si>
  <si>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</si>
  <si>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</si>
  <si>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</si>
  <si>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</si>
  <si>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</si>
  <si>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</si>
  <si>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</si>
  <si>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</si>
  <si>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</si>
  <si>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Emissies CO</t>
    </r>
    <r>
      <rPr>
        <b/>
        <vertAlign val="subscript"/>
        <sz val="11"/>
        <rFont val="Arial"/>
        <family val="2"/>
      </rPr>
      <t>2</t>
    </r>
    <r>
      <rPr>
        <b/>
        <sz val="11"/>
        <rFont val="Arial"/>
        <family val="2"/>
      </rPr>
      <t xml:space="preserve"> / CO</t>
    </r>
    <r>
      <rPr>
        <b/>
        <vertAlign val="subscript"/>
        <sz val="11"/>
        <rFont val="Arial"/>
        <family val="2"/>
      </rPr>
      <t>2</t>
    </r>
    <r>
      <rPr>
        <b/>
        <sz val="11"/>
        <rFont val="Arial"/>
        <family val="2"/>
      </rPr>
      <t>-eq [t]</t>
    </r>
  </si>
  <si>
    <r>
      <t>CO</t>
    </r>
    <r>
      <rPr>
        <b/>
        <vertAlign val="subscript"/>
        <sz val="11"/>
        <rFont val="Arial"/>
        <family val="2"/>
      </rPr>
      <t>2</t>
    </r>
    <r>
      <rPr>
        <b/>
        <sz val="11"/>
        <rFont val="Arial"/>
        <family val="2"/>
      </rPr>
      <t>-emissiefactoren voor de elektriciteitsproductie in  [t/MWh]</t>
    </r>
  </si>
  <si>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</si>
  <si>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</si>
  <si>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</si>
  <si>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</si>
  <si>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r>
      <t>CO</t>
    </r>
    <r>
      <rPr>
        <b/>
        <vertAlign val="subscript"/>
        <sz val="11"/>
        <rFont val="Arial"/>
        <family val="2"/>
      </rPr>
      <t>2</t>
    </r>
    <r>
      <rPr>
        <b/>
        <sz val="11"/>
        <rFont val="Arial"/>
        <family val="2"/>
      </rPr>
      <t>-emissiefactoren voor de productie van warmte/koude in [t/MWh]</t>
    </r>
  </si>
  <si>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</si>
  <si>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</si>
  <si>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</si>
  <si>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</si>
  <si>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</si>
  <si>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</si>
  <si>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</si>
  <si>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</si>
  <si>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</si>
  <si>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</si>
  <si>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</si>
  <si>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</si>
  <si>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</si>
  <si>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</si>
  <si>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</si>
  <si>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</si>
  <si>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</si>
  <si>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</si>
  <si>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</si>
  <si>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</si>
  <si>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</si>
  <si>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</si>
  <si>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SEAP template met nulmeting voor 2011</t>
  </si>
  <si>
    <r>
      <t>sheet met resultaten nulmeting voor</t>
    </r>
    <r>
      <rPr>
        <b/>
        <sz val="11"/>
        <color rgb="FF009999"/>
        <rFont val="Calibri"/>
        <family val="2"/>
        <scheme val="minor"/>
      </rPr>
      <t xml:space="preserve"> 2011</t>
    </r>
    <r>
      <rPr>
        <sz val="11"/>
        <color theme="1"/>
        <rFont val="Calibri"/>
        <family val="2"/>
        <scheme val="minor"/>
      </rPr>
      <t>, weergegeven in SEAP template</t>
    </r>
  </si>
  <si>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</si>
  <si>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</si>
  <si>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</si>
  <si>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</si>
  <si>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</si>
  <si>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</si>
  <si>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</si>
  <si>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</si>
  <si>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</si>
  <si>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</si>
  <si>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</si>
  <si>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</si>
  <si>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</si>
  <si>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</si>
  <si>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</si>
  <si>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</si>
  <si>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</si>
  <si>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</si>
  <si>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</si>
  <si>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</si>
  <si>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Kristien Aernouts</t>
  </si>
  <si>
    <t>Dirk Smets</t>
  </si>
  <si>
    <t>02 / 553 57 35</t>
  </si>
  <si>
    <t>dirk.smets@dar.vlaanderen.be</t>
  </si>
  <si>
    <t>P. Willems, Lodewijckx J.</t>
  </si>
  <si>
    <t>november 2011</t>
  </si>
  <si>
    <t>SVR-projecties van de bevolking en de huishoudens voor Vlaamse steden en gemeenten, 2009-2030</t>
  </si>
  <si>
    <t>Studiedienst van de Vlaamse Regering (november 2011)</t>
  </si>
  <si>
    <t>Eandis (juni 2013); Infrax (juni 2013)</t>
  </si>
  <si>
    <t>Eandis</t>
  </si>
  <si>
    <t>juni 2013</t>
  </si>
  <si>
    <t>Sander Van Herzeele</t>
  </si>
  <si>
    <t>09 / 263 64 57</t>
  </si>
  <si>
    <t>Sander.VanHerzeele@eandis.be</t>
  </si>
  <si>
    <t>kristien.aernouts@vito.be</t>
  </si>
  <si>
    <t>Infrax</t>
  </si>
  <si>
    <t>toon.lenaerts@infrax.be</t>
  </si>
  <si>
    <t>Toon Lenaerts</t>
  </si>
  <si>
    <t>014 / 32 58 74</t>
  </si>
  <si>
    <t>011 / 72 22 05</t>
  </si>
  <si>
    <t xml:space="preserve">Bron: </t>
  </si>
  <si>
    <t>VEA (juni 2013)</t>
  </si>
  <si>
    <t>VREG</t>
  </si>
  <si>
    <t>De Lijn</t>
  </si>
  <si>
    <t>Verkeerscentrum Vlaanderen (mei 2013)</t>
  </si>
  <si>
    <t>2011</t>
  </si>
  <si>
    <t>Jaarverslag 2011</t>
  </si>
  <si>
    <t>http://www.delijn.be/images/jaarverslag_2011_lowres_tcm7-30826.pdf</t>
  </si>
  <si>
    <t>VEA</t>
  </si>
  <si>
    <t>Tine Tanghe</t>
  </si>
  <si>
    <t>02 / 553 46 07</t>
  </si>
  <si>
    <t>tine.tanghe@vea.be</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</si>
  <si>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</si>
  <si>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</si>
  <si>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</si>
  <si>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</si>
  <si>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</si>
  <si>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</si>
  <si>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</si>
  <si>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</si>
  <si>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</si>
  <si>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</si>
  <si>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</si>
  <si>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</si>
  <si>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</si>
  <si>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Verbruik aardgas en elektriciteit per gemeente en NACE-code voor 2011</t>
  </si>
  <si>
    <t>Verbruik aardgas en elektriciteit per gemeente en NACE-code  voor 2011</t>
  </si>
  <si>
    <t>Aantal premies voor zonnecollectoren en warmtepompen per gemeente, indienjaar en functie</t>
  </si>
  <si>
    <t xml:space="preserve">Verkeerscentrum Vlaanderen </t>
  </si>
  <si>
    <t>Verkeerscentrum Vlaanderen</t>
  </si>
  <si>
    <t>mei 2013</t>
  </si>
  <si>
    <t>Dana Borremans</t>
  </si>
  <si>
    <t xml:space="preserve">03 / 224 96 03 </t>
  </si>
  <si>
    <t>Aantal voertuigkm per gemeente en per weg voor 2011 en 2020</t>
  </si>
  <si>
    <t>dana.borremans@mow.vlaanderen.be</t>
  </si>
  <si>
    <t>maart 2013</t>
  </si>
  <si>
    <t>Aantal uitgereikte groenestroomcertificaten per technologie en per gemeente voor energieproductie van 2011-01 tot en met 2011-12 (laatst bijgewerkt 15/05/2012)</t>
  </si>
  <si>
    <t>mei 2012</t>
  </si>
  <si>
    <t>http://www.vreg.be/statistieken-groene-stroom</t>
  </si>
  <si>
    <t>VREG (15/05/2012)</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</si>
  <si>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</si>
  <si>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</si>
  <si>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</si>
  <si>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</si>
  <si>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</si>
  <si>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</si>
  <si>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</si>
  <si>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</si>
  <si>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VMM (2013)</t>
  </si>
  <si>
    <t>2006 IPCC Guidelines for National Greenhouse Gas Inventories</t>
  </si>
  <si>
    <t>IPCC</t>
  </si>
  <si>
    <t>2006</t>
  </si>
  <si>
    <t>http://www.ipcc-nggip.iges.or.jp/public/2006gl/</t>
  </si>
  <si>
    <t>Intergovernmental Panel on Climate Change</t>
  </si>
  <si>
    <t>Bron: CH4 vee-model  (VMM, 2013)</t>
  </si>
  <si>
    <t>Bron: N2O-model (VMM, 2013)</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</si>
  <si>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</si>
  <si>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</si>
  <si>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</si>
  <si>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</si>
  <si>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</si>
  <si>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</si>
  <si>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</si>
  <si>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</si>
  <si>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Tool Ondersteuning Burgemeestersconvenant - Deel 1: Baseline Emission Inventory (BEI)</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</si>
  <si>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</si>
  <si>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</si>
  <si>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</si>
  <si>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</si>
  <si>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</si>
  <si>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</si>
  <si>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berekend op basis van:</t>
  </si>
  <si>
    <t>NIR (april 2011)</t>
  </si>
  <si>
    <t>NIR</t>
  </si>
  <si>
    <t>UNFCC</t>
  </si>
  <si>
    <t>National Inventory Report</t>
  </si>
  <si>
    <t>april 2011</t>
  </si>
  <si>
    <t>http://unfccc.int/national_reports/annex_i_ghg_inventories/national_inventories_submissions/items/5888.php</t>
  </si>
  <si>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</si>
  <si>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</si>
  <si>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</si>
  <si>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</si>
  <si>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</si>
  <si>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</si>
  <si>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</si>
  <si>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</si>
  <si>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</si>
  <si>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</si>
  <si>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</si>
  <si>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</si>
  <si>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</si>
  <si>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</si>
  <si>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</si>
  <si>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</si>
  <si>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</si>
  <si>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</si>
  <si>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</si>
  <si>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</si>
  <si>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</si>
  <si>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</si>
  <si>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</si>
  <si>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</si>
  <si>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</si>
  <si>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</si>
  <si>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</si>
  <si>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</si>
  <si>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</si>
  <si>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</si>
  <si>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aantallen 2011 voor bijverwarming</t>
  </si>
  <si>
    <t>aantallen 2011 voor hoofdverwarming</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</si>
  <si>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</si>
  <si>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</si>
  <si>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</si>
  <si>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</si>
  <si>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</si>
  <si>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</si>
  <si>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</si>
  <si>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</si>
  <si>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</si>
  <si>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</si>
  <si>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</si>
  <si>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</si>
  <si>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</si>
  <si>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</si>
  <si>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</si>
  <si>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</si>
  <si>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</si>
  <si>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</si>
  <si>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</si>
  <si>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</si>
  <si>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</si>
  <si>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</si>
  <si>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</si>
  <si>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</si>
  <si>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De Lijn (2011)</t>
  </si>
  <si>
    <t>Gemeentelijke openbare verlichting</t>
  </si>
  <si>
    <t>EIA (2011)</t>
  </si>
  <si>
    <t>Energy Information Administration (EIA)</t>
  </si>
  <si>
    <t>http://www.eia.gov/cfapps/ipdbproject/IEDIndex3.cfm?tid=2&amp;pid=2&amp;aid=12</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</si>
  <si>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</si>
  <si>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</si>
  <si>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</si>
  <si>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</si>
  <si>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</si>
  <si>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</si>
  <si>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</si>
  <si>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</si>
  <si>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</si>
  <si>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</si>
  <si>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t xml:space="preserve">Internationale energie statistieken - jaarlijkse netto elektriciteitsproductie in België </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</si>
  <si>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</si>
  <si>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</si>
  <si>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</si>
  <si>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</si>
  <si>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</si>
  <si>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</si>
  <si>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Energiebalans Vlaanderen voor 2011 voor sector huishoudens, tertiair, industrie (niet-ETS) en landbouw</t>
  </si>
  <si>
    <t>VITO Energiebalans Vlaanderen (juni 2013)</t>
  </si>
  <si>
    <t>Bron: VITO Emotion Road (augustus 2012)</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</si>
  <si>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</si>
  <si>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</si>
  <si>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</si>
  <si>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</si>
  <si>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</si>
  <si>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</si>
  <si>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</si>
  <si>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</si>
  <si>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</si>
  <si>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</si>
  <si>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</si>
  <si>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</si>
  <si>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</si>
  <si>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</si>
  <si>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</si>
  <si>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</si>
  <si>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</si>
  <si>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</si>
  <si>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</si>
  <si>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</si>
  <si>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</si>
  <si>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</si>
  <si>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</si>
  <si>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</si>
  <si>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</si>
  <si>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VITO Energiebalans Vlaanderen (juni, 2013)</t>
  </si>
  <si>
    <t>VITO Emotion Road (augustus 2012)</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</si>
  <si>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</si>
  <si>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</si>
  <si>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</si>
  <si>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</si>
  <si>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 xml:space="preserve">Deze tool werd ontwikkeld door VITO in opdracht van de Vlaamse Overheid, Departement  Leefmilieu, Natuur en Energie  (Afdeling Milieu-, Natuur- en Energiebeleid). Deze tool moet steden en gemeenten in Vlaanderen ondersteunen bij de opmaak van een “baseline inventory” (BEI) of CO2 nulmeting zoals gedefinieerd onder het Covenant of Mayors (CoM). Het referentiejaar in deze tool is het jaar 2011.
</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</si>
  <si>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</si>
  <si>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</si>
  <si>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</si>
  <si>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</si>
  <si>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</si>
  <si>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</si>
  <si>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</si>
  <si>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</si>
  <si>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</si>
  <si>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</si>
  <si>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</si>
  <si>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</si>
  <si>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</si>
  <si>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</si>
  <si>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</si>
  <si>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De Lijn (2011); VITO Emotion Road (augustus 2012)</t>
  </si>
  <si>
    <t>1. Verdeelsleutel buskilometers over brandstoftechnologie</t>
  </si>
  <si>
    <t>(zelfde % als particulier en commercieel vervoer aangenomen)</t>
  </si>
  <si>
    <t>particulier en commercieel vervoer</t>
  </si>
  <si>
    <t>Nulmeting 2011</t>
  </si>
  <si>
    <t xml:space="preserve">data </t>
  </si>
  <si>
    <t xml:space="preserve">Link met tool ondersteuning burgemeestersconvenant - Deel 2: sustainable energy action plan </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</si>
  <si>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</si>
  <si>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</si>
  <si>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</si>
  <si>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</si>
  <si>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</si>
  <si>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</si>
  <si>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</si>
  <si>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</si>
  <si>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</si>
  <si>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</si>
  <si>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</si>
  <si>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</si>
  <si>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</si>
  <si>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</si>
  <si>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</si>
  <si>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 xml:space="preserve">KOPIEER VIA KNOP DE INHOUD VAN VOLGENDE REKENBLADEN ALS WAARDEN NAAR DE MAATREGELEN TOOL </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</si>
  <si>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</si>
  <si>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</si>
  <si>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</si>
  <si>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</si>
  <si>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</si>
  <si>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eenheid</t>
  </si>
  <si>
    <t>Lichte stookolie</t>
  </si>
  <si>
    <t>l</t>
  </si>
  <si>
    <t>kg</t>
  </si>
  <si>
    <t>t</t>
  </si>
  <si>
    <t>Zware stookolie</t>
  </si>
  <si>
    <t>m3</t>
  </si>
  <si>
    <t>1. Conversiefactoren brandstoffen verwarming</t>
  </si>
  <si>
    <t>2. Conversiefactoren brandstoffen transport</t>
  </si>
  <si>
    <t>Aardgas (laagcalorisch)</t>
  </si>
  <si>
    <t>Aardgas (hoogcalorisch)</t>
  </si>
  <si>
    <t>brandstof</t>
  </si>
  <si>
    <t>correctie voor aandeel biobrandstof</t>
  </si>
  <si>
    <t>LPG (vloeibaar gas)</t>
  </si>
  <si>
    <t>CNG (aardgas)</t>
  </si>
  <si>
    <t>van eenheid naar MWh</t>
  </si>
  <si>
    <t>Conversiefactoren</t>
  </si>
  <si>
    <t>conversiefactoren voor omrekening naar MWh</t>
  </si>
  <si>
    <t>conversiefactoren kunnen gebruikt worden voor omrekening verbruiken naar MWh</t>
  </si>
  <si>
    <t xml:space="preserve">sheet wordt als waarden gekopieerd in de maatregelen tool </t>
  </si>
  <si>
    <t>input voor tool maatregelen</t>
  </si>
  <si>
    <t>emissiefactoren</t>
  </si>
  <si>
    <t>van eenheid naar GJ 
(onderste verbrandingswaarde)</t>
  </si>
  <si>
    <t>van GJ naar MWh 
(onderste verbrandingswaarde)</t>
  </si>
  <si>
    <t>van eenheid naar MWh 
(onderste verbrandingswaarde)</t>
  </si>
  <si>
    <t>Propaan (vloeibaar gas)</t>
  </si>
  <si>
    <t>Butaan (vloeibaar gas)</t>
  </si>
  <si>
    <t>sheet wordt gekopieerd als waarden in tool maatregelen</t>
  </si>
  <si>
    <r>
      <rPr>
        <b/>
        <sz val="11"/>
        <color rgb="FF009999"/>
        <rFont val="Calibri"/>
        <family val="2"/>
      </rPr>
      <t>in tool nulmeting:</t>
    </r>
    <r>
      <rPr>
        <sz val="11"/>
        <rFont val="Calibri"/>
        <family val="2"/>
      </rPr>
      <t xml:space="preserve"> selecteer rekenblad (cf. knop bovenaan links) -&gt; Home &lt; Copy -&gt;</t>
    </r>
    <r>
      <rPr>
        <b/>
        <sz val="11"/>
        <color rgb="FF009999"/>
        <rFont val="Calibri"/>
        <family val="2"/>
      </rPr>
      <t xml:space="preserve"> in tool maatregelen: </t>
    </r>
    <r>
      <rPr>
        <sz val="11"/>
        <rFont val="Calibri"/>
        <family val="2"/>
      </rPr>
      <t>Home &lt; Paste &lt; Paste Values &lt; Values</t>
    </r>
  </si>
  <si>
    <t>http://www.verkeerscentrum.be/extern/VlaamseVerkeersmodellen/ProvincialeVerkeersmodellen/Versie3.6/Promovia_versie1.1.pdf</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</si>
  <si>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</si>
  <si>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</si>
  <si>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</si>
  <si>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</si>
  <si>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2011_01</t>
  </si>
  <si>
    <t>2011_02</t>
  </si>
  <si>
    <t>lokale energieproductie'!C97</t>
  </si>
  <si>
    <t>locatie</t>
  </si>
  <si>
    <t>wijziging</t>
  </si>
  <si>
    <r>
      <t>aanpassing formule N57/(N57+O</t>
    </r>
    <r>
      <rPr>
        <strike/>
        <sz val="11"/>
        <color rgb="FFFF0000"/>
        <rFont val="Calibri"/>
        <family val="2"/>
        <scheme val="minor"/>
      </rPr>
      <t>N</t>
    </r>
    <r>
      <rPr>
        <sz val="11"/>
        <color theme="1"/>
        <rFont val="Calibri"/>
        <family val="2"/>
        <scheme val="minor"/>
      </rPr>
      <t>57) =&gt; N57/(N57+O57)</t>
    </r>
  </si>
  <si>
    <t>ECF transport '!F66</t>
  </si>
  <si>
    <t>aanpassing energieconsumptiefactor trams (: 1000)</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</si>
  <si>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</si>
  <si>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</si>
  <si>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r>
      <t>aantal geïnstalleerd=aantalWP_NB_ander+antalWP_NB_ander_met_kantoor+aantalWP_NB_kantoor+aantalWP_NB_school+data!B127</t>
    </r>
    <r>
      <rPr>
        <b/>
        <sz val="11"/>
        <color rgb="FFFF0000"/>
        <rFont val="Calibri"/>
        <family val="2"/>
        <scheme val="minor"/>
      </rPr>
      <t xml:space="preserve"> in plaats van data!B121</t>
    </r>
  </si>
  <si>
    <t>huishoudens!B68</t>
  </si>
  <si>
    <t>tertiair!B46</t>
  </si>
  <si>
    <t>are_N2O bodem landbouw'!B5</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</si>
  <si>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</si>
  <si>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correctie lokale energieproductie (PV)</t>
  </si>
  <si>
    <t>2011_04</t>
  </si>
  <si>
    <t>huishoudens!B6</t>
  </si>
  <si>
    <t xml:space="preserve">correctie elektriciteitverbruik huishoudens voor PV (aanname: terugdraaiende teller; alle PV &lt;= 10 kWp toegekend aan sector huishoudens) </t>
  </si>
  <si>
    <t>productie (MWh)</t>
  </si>
  <si>
    <t>MWh/jaar</t>
  </si>
  <si>
    <t>bijkomende formule toegevoegd voor berekening warmte productie zonneboilers en warmtepompen sector "eigen gebouwen" (rij B27 en rij B35)</t>
  </si>
  <si>
    <t>Eigen gebouwen'!B27</t>
  </si>
  <si>
    <t>gegevens landbouw Mestbank (februari 2014) in plaats van Statbel</t>
  </si>
  <si>
    <t>Mestbank (februari 2014)</t>
  </si>
  <si>
    <t>verhouding ha cultuurgrond gemeente/Vlaanderen (%)</t>
  </si>
  <si>
    <t>cultuurgrond (ha)</t>
  </si>
  <si>
    <t>Totale N2O emissies bodem (direct + indirect) en ha cultuurgrond in Vlaanderen</t>
  </si>
  <si>
    <t>data!A1</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</si>
  <si>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</si>
  <si>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</si>
  <si>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</si>
  <si>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</si>
  <si>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</si>
  <si>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</si>
  <si>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</si>
  <si>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</si>
  <si>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</si>
  <si>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2011_05</t>
  </si>
  <si>
    <t>lokale energieproductie'!A1</t>
  </si>
  <si>
    <t>formaat cellen met NIS-code, post-code en datum aangepast</t>
  </si>
  <si>
    <t>Eigen gebouwen'!A1</t>
  </si>
  <si>
    <t>voorbeeld cijfers voor eigen gebouwen verwijderd want zorgt voor verwarring (geeft indruk dat dit gemeente specifieke cijfers zijn)</t>
  </si>
  <si>
    <t>versie: 2011_05</t>
  </si>
  <si>
    <t>11029</t>
  </si>
  <si>
    <t>MORTSEL</t>
  </si>
  <si>
    <t>Cultuurgrond (ha)</t>
  </si>
  <si>
    <t>cf. Bijlage A handleiding_nulmeting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</si>
</sst>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 #,##0.00_ ;_ * \-#,##0.00_ ;_ * &quot;-&quot;??_ ;_ @_ "/>
    <numFmt numFmtId="165" formatCode="#,##0.0"/>
    <numFmt numFmtId="166" formatCode="0.000"/>
    <numFmt numFmtId="167" formatCode="_-* #,##0_-;\-* #,##0_-;_-* &quot;-&quot;_-;_-@_-"/>
    <numFmt numFmtId="168" formatCode="_-* #,##0.00_-;\-* #,##0.00_-;_-* &quot;-&quot;??_-;_-@_-"/>
    <numFmt numFmtId="169" formatCode="_-* #,##0.00\ [$€]_-;\-* #,##0.00\ [$€]_-;_-* &quot;-&quot;??\ [$€]_-;_-@_-"/>
    <numFmt numFmtId="170" formatCode="0.0"/>
    <numFmt numFmtId="171" formatCode="_-&quot;£&quot;* #,##0_-;\-&quot;£&quot;* #,##0_-;_-&quot;£&quot;* &quot;-&quot;_-;_-@_-"/>
    <numFmt numFmtId="172" formatCode="_-&quot;£&quot;* #,##0.00_-;\-&quot;£&quot;* #,##0.00_-;_-&quot;£&quot;* &quot;-&quot;??_-;_-@_-"/>
    <numFmt numFmtId="173" formatCode="#,##0.000"/>
    <numFmt numFmtId="174" formatCode="0.00000000000"/>
    <numFmt numFmtId="175" formatCode="#,##0.000_ ;\-#,##0.000\ "/>
    <numFmt numFmtId="176" formatCode="0.0000"/>
    <numFmt numFmtId="177" formatCode="#,##0.0000"/>
    <numFmt numFmtId="178" formatCode="0.000000"/>
    <numFmt numFmtId="179" formatCode="_-* #,##0.0000\ [$€]_-;\-* #,##0.0000\ [$€]_-;_-* &quot;-&quot;??\ [$€]_-;_-@_-"/>
  </numFmts>
  <fonts count="107">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color indexed="48"/>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u/>
      <sz val="11"/>
      <color rgb="FFFF0000"/>
      <name val="Calibri"/>
      <family val="2"/>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theme="0" tint="-0.34998626667073579"/>
      <name val="Calibri"/>
      <family val="2"/>
    </font>
    <font>
      <sz val="11"/>
      <color theme="0" tint="-0.34998626667073579"/>
      <name val="Calibri"/>
      <family val="2"/>
      <scheme val="minor"/>
    </font>
    <font>
      <b/>
      <sz val="11"/>
      <color rgb="FF009999"/>
      <name val="Calibri"/>
      <family val="2"/>
    </font>
    <font>
      <sz val="11"/>
      <color theme="1"/>
      <name val="Calibri"/>
      <family val="2"/>
    </font>
    <font>
      <strike/>
      <sz val="11"/>
      <color rgb="FFFF0000"/>
      <name val="Calibri"/>
      <family val="2"/>
      <scheme val="minor"/>
    </font>
    <font>
      <u val="singleAccounting"/>
      <sz val="11"/>
      <color theme="1"/>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rgb="FF33CCCC"/>
        <bgColor theme="4"/>
      </patternFill>
    </fill>
    <fill>
      <patternFill patternType="solid">
        <fgColor theme="8" tint="0.39997558519241921"/>
        <bgColor indexed="64"/>
      </patternFill>
    </fill>
    <fill>
      <patternFill patternType="solid">
        <fgColor theme="8" tint="0.59999389629810485"/>
        <bgColor indexed="64"/>
      </patternFill>
    </fill>
  </fills>
  <borders count="192">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style="thick">
        <color indexed="64"/>
      </left>
      <right style="thick">
        <color indexed="64"/>
      </right>
      <top style="thin">
        <color indexed="64"/>
      </top>
      <bottom style="medium">
        <color indexed="64"/>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thick">
        <color rgb="FF33CCCC"/>
      </left>
      <right/>
      <top style="thick">
        <color rgb="FF33CCCC"/>
      </top>
      <bottom/>
      <diagonal/>
    </border>
    <border>
      <left/>
      <right style="thick">
        <color rgb="FF33CCCC"/>
      </right>
      <top style="thick">
        <color rgb="FF33CCCC"/>
      </top>
      <bottom/>
      <diagonal/>
    </border>
    <border>
      <left style="thick">
        <color rgb="FF33CCCC"/>
      </left>
      <right/>
      <top/>
      <bottom/>
      <diagonal/>
    </border>
    <border>
      <left/>
      <right style="thick">
        <color rgb="FF33CCCC"/>
      </right>
      <top/>
      <bottom/>
      <diagonal/>
    </border>
    <border>
      <left style="thick">
        <color rgb="FF33CCCC"/>
      </left>
      <right/>
      <top/>
      <bottom style="thick">
        <color rgb="FF33CCCC"/>
      </bottom>
      <diagonal/>
    </border>
    <border>
      <left/>
      <right/>
      <top/>
      <bottom style="thick">
        <color rgb="FF33CCCC"/>
      </bottom>
      <diagonal/>
    </border>
    <border>
      <left/>
      <right style="thick">
        <color rgb="FF33CCCC"/>
      </right>
      <top/>
      <bottom style="thick">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style="medium">
        <color indexed="64"/>
      </left>
      <right/>
      <top style="thin">
        <color rgb="FF009999"/>
      </top>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thin">
        <color indexed="64"/>
      </top>
      <bottom/>
      <diagonal/>
    </border>
    <border>
      <left style="thin">
        <color indexed="64"/>
      </left>
      <right style="thick">
        <color indexed="64"/>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s>
  <cellStyleXfs count="152">
    <xf numFmtId="169" fontId="0" fillId="0" borderId="0"/>
    <xf numFmtId="169" fontId="1" fillId="0" borderId="0" applyNumberFormat="0" applyFill="0" applyBorder="0" applyAlignment="0" applyProtection="0"/>
    <xf numFmtId="169" fontId="2" fillId="0" borderId="1" applyNumberFormat="0" applyFill="0" applyAlignment="0" applyProtection="0"/>
    <xf numFmtId="169" fontId="3" fillId="0" borderId="2" applyNumberFormat="0" applyFill="0" applyAlignment="0" applyProtection="0"/>
    <xf numFmtId="169" fontId="3" fillId="0" borderId="0" applyNumberFormat="0" applyFill="0" applyBorder="0" applyAlignment="0" applyProtection="0"/>
    <xf numFmtId="169" fontId="4" fillId="0" borderId="0"/>
    <xf numFmtId="169" fontId="9" fillId="0" borderId="0"/>
    <xf numFmtId="169" fontId="9" fillId="0" borderId="0"/>
    <xf numFmtId="169" fontId="15" fillId="0" borderId="0"/>
    <xf numFmtId="4" fontId="26" fillId="5" borderId="20">
      <alignment horizontal="right" vertical="center"/>
    </xf>
    <xf numFmtId="169" fontId="16" fillId="6" borderId="21" applyFont="0" applyBorder="0">
      <alignment vertical="center"/>
    </xf>
    <xf numFmtId="169" fontId="27" fillId="7" borderId="0" applyNumberFormat="0" applyBorder="0" applyAlignment="0" applyProtection="0"/>
    <xf numFmtId="169" fontId="28" fillId="0" borderId="0" applyNumberFormat="0" applyAlignment="0" applyProtection="0"/>
    <xf numFmtId="165" fontId="16" fillId="0" borderId="15">
      <alignment vertical="center"/>
    </xf>
    <xf numFmtId="165" fontId="16" fillId="0" borderId="15">
      <alignment vertical="center"/>
    </xf>
    <xf numFmtId="165" fontId="16" fillId="0" borderId="15">
      <alignment vertical="center"/>
    </xf>
    <xf numFmtId="43" fontId="4" fillId="0" borderId="0" applyFont="0" applyFill="0" applyBorder="0" applyAlignment="0" applyProtection="0"/>
    <xf numFmtId="169" fontId="9" fillId="8" borderId="0" applyNumberFormat="0" applyBorder="0" applyAlignment="0">
      <protection hidden="1"/>
    </xf>
    <xf numFmtId="169" fontId="29" fillId="0" borderId="0" applyNumberFormat="0" applyFont="0" applyAlignment="0"/>
    <xf numFmtId="16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169" fontId="30" fillId="0" borderId="0" applyNumberFormat="0" applyFill="0" applyBorder="0" applyAlignment="0" applyProtection="0">
      <alignment vertical="top"/>
      <protection locked="0"/>
    </xf>
    <xf numFmtId="170" fontId="23" fillId="8" borderId="15">
      <alignment horizontal="right" vertical="center"/>
    </xf>
    <xf numFmtId="170" fontId="23" fillId="8" borderId="15">
      <alignment horizontal="right" vertical="center"/>
    </xf>
    <xf numFmtId="170" fontId="23" fillId="8" borderId="15">
      <alignment horizontal="right" vertical="center"/>
    </xf>
    <xf numFmtId="170" fontId="31" fillId="9" borderId="15">
      <alignment horizontal="right" vertical="center"/>
    </xf>
    <xf numFmtId="170" fontId="31" fillId="9" borderId="15">
      <alignment horizontal="right" vertical="center"/>
    </xf>
    <xf numFmtId="170" fontId="31" fillId="9" borderId="15">
      <alignment horizontal="right" vertical="center"/>
    </xf>
    <xf numFmtId="164" fontId="9" fillId="0" borderId="0" applyFont="0" applyFill="0" applyBorder="0" applyAlignment="0" applyProtection="0"/>
    <xf numFmtId="169" fontId="9" fillId="10" borderId="0" applyNumberFormat="0" applyFont="0" applyBorder="0" applyAlignment="0"/>
    <xf numFmtId="167" fontId="32" fillId="0" borderId="0" applyFont="0" applyFill="0" applyBorder="0" applyAlignment="0" applyProtection="0"/>
    <xf numFmtId="168" fontId="32" fillId="0" borderId="0" applyFont="0" applyFill="0" applyBorder="0" applyAlignment="0" applyProtection="0"/>
    <xf numFmtId="171" fontId="32" fillId="0" borderId="0" applyFont="0" applyFill="0" applyBorder="0" applyAlignment="0" applyProtection="0"/>
    <xf numFmtId="172" fontId="32" fillId="0" borderId="0" applyFont="0" applyFill="0" applyBorder="0" applyAlignment="0" applyProtection="0"/>
    <xf numFmtId="169" fontId="33" fillId="0" borderId="0"/>
    <xf numFmtId="169" fontId="9" fillId="0" borderId="0"/>
    <xf numFmtId="169" fontId="33" fillId="0" borderId="0"/>
    <xf numFmtId="169" fontId="15" fillId="0" borderId="0"/>
    <xf numFmtId="169" fontId="9" fillId="0" borderId="0"/>
    <xf numFmtId="4" fontId="26" fillId="0" borderId="15" applyFill="0" applyBorder="0" applyProtection="0">
      <alignment horizontal="right" vertical="center"/>
    </xf>
    <xf numFmtId="169"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9" fontId="9" fillId="0" borderId="0"/>
    <xf numFmtId="169" fontId="34" fillId="1" borderId="23" applyNumberFormat="0" applyProtection="0">
      <alignment horizontal="left" vertical="top"/>
    </xf>
    <xf numFmtId="171" fontId="9" fillId="0" borderId="0" applyFont="0" applyFill="0" applyBorder="0" applyAlignment="0" applyProtection="0"/>
    <xf numFmtId="172" fontId="9"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169" fontId="35" fillId="0" borderId="24">
      <alignment horizontal="left"/>
    </xf>
    <xf numFmtId="9" fontId="4" fillId="0" borderId="0" applyFont="0" applyFill="0" applyBorder="0" applyAlignment="0" applyProtection="0"/>
    <xf numFmtId="164" fontId="4" fillId="0" borderId="0" applyFont="0" applyFill="0" applyBorder="0" applyAlignment="0" applyProtection="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51" fillId="0" borderId="0"/>
    <xf numFmtId="169" fontId="51"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51" fillId="0" borderId="0"/>
    <xf numFmtId="169" fontId="51" fillId="0" borderId="0"/>
    <xf numFmtId="169" fontId="4"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9" fillId="0" borderId="0"/>
    <xf numFmtId="169" fontId="4" fillId="0" borderId="0"/>
    <xf numFmtId="169" fontId="4" fillId="0" borderId="0"/>
    <xf numFmtId="169" fontId="9" fillId="0" borderId="0"/>
    <xf numFmtId="169" fontId="9" fillId="0" borderId="0"/>
    <xf numFmtId="169" fontId="51" fillId="0" borderId="0"/>
    <xf numFmtId="169" fontId="9" fillId="0" borderId="0"/>
    <xf numFmtId="169" fontId="9" fillId="0" borderId="0"/>
    <xf numFmtId="169" fontId="51" fillId="0" borderId="0"/>
    <xf numFmtId="169" fontId="51" fillId="0" borderId="0"/>
    <xf numFmtId="169" fontId="9" fillId="0" borderId="0"/>
    <xf numFmtId="169" fontId="9" fillId="0" borderId="0"/>
    <xf numFmtId="169" fontId="9" fillId="0" borderId="0"/>
    <xf numFmtId="169" fontId="9" fillId="0" borderId="0"/>
    <xf numFmtId="169" fontId="51" fillId="0" borderId="0"/>
    <xf numFmtId="169" fontId="71" fillId="0" borderId="0" applyNumberFormat="0" applyFill="0" applyBorder="0" applyAlignment="0" applyProtection="0">
      <alignment vertical="top"/>
      <protection locked="0"/>
    </xf>
  </cellStyleXfs>
  <cellXfs count="1182">
    <xf numFmtId="169" fontId="0" fillId="0" borderId="0" xfId="0"/>
    <xf numFmtId="169" fontId="3" fillId="0" borderId="0" xfId="4"/>
    <xf numFmtId="165" fontId="12" fillId="0" borderId="0" xfId="6" applyNumberFormat="1" applyFont="1" applyFill="1"/>
    <xf numFmtId="169" fontId="0" fillId="0" borderId="7" xfId="0" applyBorder="1"/>
    <xf numFmtId="165" fontId="0" fillId="2" borderId="0" xfId="0" applyNumberFormat="1" applyFill="1" applyBorder="1" applyAlignment="1">
      <alignment horizontal="center"/>
    </xf>
    <xf numFmtId="165" fontId="6" fillId="0" borderId="9" xfId="0" applyNumberFormat="1" applyFont="1" applyBorder="1" applyAlignment="1">
      <alignment horizontal="center"/>
    </xf>
    <xf numFmtId="165" fontId="14" fillId="2" borderId="0" xfId="0" applyNumberFormat="1" applyFont="1" applyFill="1" applyBorder="1" applyAlignment="1">
      <alignment horizontal="center"/>
    </xf>
    <xf numFmtId="169" fontId="0" fillId="0" borderId="10" xfId="0" applyBorder="1"/>
    <xf numFmtId="165" fontId="0" fillId="2" borderId="12" xfId="0" applyNumberFormat="1" applyFill="1" applyBorder="1" applyAlignment="1">
      <alignment horizontal="center"/>
    </xf>
    <xf numFmtId="165" fontId="6" fillId="0" borderId="13" xfId="0" applyNumberFormat="1" applyFont="1" applyBorder="1" applyAlignment="1">
      <alignment horizontal="center"/>
    </xf>
    <xf numFmtId="165" fontId="14" fillId="2" borderId="12" xfId="0" applyNumberFormat="1" applyFont="1" applyFill="1" applyBorder="1" applyAlignment="1">
      <alignment horizontal="center"/>
    </xf>
    <xf numFmtId="169" fontId="6" fillId="0" borderId="7" xfId="0" applyFont="1" applyBorder="1"/>
    <xf numFmtId="165" fontId="6" fillId="0" borderId="0" xfId="0" applyNumberFormat="1" applyFont="1" applyBorder="1" applyAlignment="1">
      <alignment horizontal="center"/>
    </xf>
    <xf numFmtId="165" fontId="13" fillId="0" borderId="0" xfId="0" applyNumberFormat="1" applyFont="1" applyBorder="1" applyAlignment="1">
      <alignment horizontal="center"/>
    </xf>
    <xf numFmtId="169" fontId="16" fillId="0" borderId="0" xfId="8" applyFont="1" applyFill="1" applyBorder="1" applyAlignment="1">
      <alignment wrapText="1"/>
    </xf>
    <xf numFmtId="165" fontId="0" fillId="2" borderId="0" xfId="0" applyNumberFormat="1" applyFont="1" applyFill="1" applyBorder="1" applyAlignment="1">
      <alignment horizontal="center"/>
    </xf>
    <xf numFmtId="165" fontId="0" fillId="0" borderId="9" xfId="0" applyNumberFormat="1" applyFont="1" applyBorder="1" applyAlignment="1">
      <alignment horizontal="center"/>
    </xf>
    <xf numFmtId="169" fontId="14" fillId="0" borderId="0" xfId="0" applyFont="1"/>
    <xf numFmtId="169" fontId="6" fillId="0" borderId="0" xfId="0" applyFont="1"/>
    <xf numFmtId="169" fontId="21" fillId="0" borderId="0" xfId="0" applyFont="1" applyBorder="1"/>
    <xf numFmtId="169" fontId="22" fillId="0" borderId="0" xfId="0" applyFont="1" applyBorder="1"/>
    <xf numFmtId="169" fontId="5" fillId="0" borderId="0" xfId="0" applyFont="1"/>
    <xf numFmtId="169" fontId="23" fillId="0" borderId="0" xfId="0" applyFont="1"/>
    <xf numFmtId="169" fontId="37" fillId="12" borderId="15" xfId="0" applyFont="1" applyFill="1" applyBorder="1" applyAlignment="1">
      <alignment horizontal="center" vertical="center" wrapText="1"/>
    </xf>
    <xf numFmtId="169"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69" fontId="0" fillId="0" borderId="0" xfId="0" applyFill="1"/>
    <xf numFmtId="169"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69" fontId="6" fillId="13" borderId="15" xfId="0" applyFont="1" applyFill="1" applyBorder="1"/>
    <xf numFmtId="3" fontId="6" fillId="13" borderId="15" xfId="0" applyNumberFormat="1" applyFont="1" applyFill="1" applyBorder="1" applyAlignment="1">
      <alignment horizontal="center"/>
    </xf>
    <xf numFmtId="173" fontId="0" fillId="0" borderId="0" xfId="0" applyNumberFormat="1" applyAlignment="1">
      <alignment horizontal="center"/>
    </xf>
    <xf numFmtId="3" fontId="0" fillId="13" borderId="15" xfId="0" applyNumberFormat="1" applyFill="1" applyBorder="1" applyAlignment="1">
      <alignment horizontal="center"/>
    </xf>
    <xf numFmtId="169" fontId="6" fillId="14" borderId="15" xfId="0" applyFont="1" applyFill="1" applyBorder="1"/>
    <xf numFmtId="173"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69"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3" fontId="0" fillId="17" borderId="15" xfId="0" applyNumberFormat="1" applyFill="1" applyBorder="1" applyAlignment="1">
      <alignment horizontal="center"/>
    </xf>
    <xf numFmtId="169"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66" fontId="0" fillId="3" borderId="0" xfId="0" applyNumberFormat="1" applyFill="1" applyBorder="1" applyAlignment="1">
      <alignment horizontal="center"/>
    </xf>
    <xf numFmtId="169" fontId="0" fillId="0" borderId="0" xfId="0" applyFill="1" applyBorder="1" applyAlignment="1">
      <alignment horizontal="center"/>
    </xf>
    <xf numFmtId="3" fontId="0" fillId="2" borderId="0" xfId="0" applyNumberFormat="1" applyFill="1" applyBorder="1" applyAlignment="1">
      <alignment horizontal="center"/>
    </xf>
    <xf numFmtId="173"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3" fontId="6" fillId="0" borderId="0" xfId="0" applyNumberFormat="1" applyFont="1" applyBorder="1" applyAlignment="1">
      <alignment horizontal="center"/>
    </xf>
    <xf numFmtId="169" fontId="0" fillId="0" borderId="15" xfId="0" applyFill="1" applyBorder="1"/>
    <xf numFmtId="173" fontId="6" fillId="0" borderId="9" xfId="0" applyNumberFormat="1" applyFont="1" applyBorder="1" applyAlignment="1">
      <alignment horizontal="center"/>
    </xf>
    <xf numFmtId="169" fontId="6" fillId="0" borderId="0" xfId="0" applyFont="1" applyFill="1" applyBorder="1"/>
    <xf numFmtId="169" fontId="0" fillId="0" borderId="0" xfId="0" applyBorder="1"/>
    <xf numFmtId="169" fontId="0" fillId="0" borderId="21" xfId="0" applyBorder="1"/>
    <xf numFmtId="169" fontId="0" fillId="0" borderId="105" xfId="0" applyBorder="1"/>
    <xf numFmtId="169"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3" fontId="6" fillId="0" borderId="0" xfId="0" applyNumberFormat="1" applyFont="1" applyFill="1" applyBorder="1" applyAlignment="1">
      <alignment horizontal="center"/>
    </xf>
    <xf numFmtId="169" fontId="47" fillId="0" borderId="0" xfId="0" applyFont="1" applyFill="1"/>
    <xf numFmtId="169" fontId="46" fillId="0" borderId="0" xfId="0" applyFont="1"/>
    <xf numFmtId="3" fontId="0" fillId="0" borderId="0" xfId="0" applyNumberFormat="1" applyFill="1"/>
    <xf numFmtId="10" fontId="0" fillId="0" borderId="0" xfId="54" applyNumberFormat="1" applyFont="1" applyBorder="1" applyAlignment="1">
      <alignment horizontal="center" vertical="center"/>
    </xf>
    <xf numFmtId="3" fontId="6" fillId="0" borderId="0" xfId="0" applyNumberFormat="1" applyFont="1" applyFill="1" applyBorder="1" applyAlignment="1">
      <alignment horizontal="center"/>
    </xf>
    <xf numFmtId="169" fontId="23" fillId="0" borderId="0" xfId="4" applyFont="1"/>
    <xf numFmtId="9" fontId="0" fillId="0" borderId="0" xfId="0" applyNumberFormat="1" applyFill="1" applyBorder="1"/>
    <xf numFmtId="173" fontId="23" fillId="14" borderId="15" xfId="0" applyNumberFormat="1" applyFont="1" applyFill="1" applyBorder="1" applyAlignment="1">
      <alignment horizontal="center"/>
    </xf>
    <xf numFmtId="173" fontId="5" fillId="14" borderId="15" xfId="0" applyNumberFormat="1" applyFont="1" applyFill="1" applyBorder="1" applyAlignment="1">
      <alignment horizontal="center"/>
    </xf>
    <xf numFmtId="169"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9"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69" fontId="73" fillId="0" borderId="0" xfId="0" applyFont="1"/>
    <xf numFmtId="169" fontId="77" fillId="0" borderId="0" xfId="0" applyFont="1" applyFill="1" applyBorder="1" applyAlignment="1">
      <alignment horizontal="left" vertical="center" wrapText="1"/>
    </xf>
    <xf numFmtId="169" fontId="74" fillId="0" borderId="0" xfId="0" applyFont="1" applyFill="1" applyBorder="1" applyAlignment="1">
      <alignment horizontal="left" vertical="center" wrapText="1"/>
    </xf>
    <xf numFmtId="169" fontId="76" fillId="0" borderId="0" xfId="0" applyFont="1" applyFill="1" applyBorder="1" applyAlignment="1">
      <alignment horizontal="left" vertical="center" wrapText="1"/>
    </xf>
    <xf numFmtId="169" fontId="79" fillId="0" borderId="0" xfId="0" applyFont="1" applyFill="1"/>
    <xf numFmtId="169" fontId="77" fillId="0" borderId="121" xfId="0" applyFont="1" applyFill="1" applyBorder="1" applyAlignment="1">
      <alignment horizontal="left" vertical="center" wrapText="1"/>
    </xf>
    <xf numFmtId="169" fontId="52" fillId="12" borderId="0" xfId="0" applyFont="1" applyFill="1" applyBorder="1" applyAlignment="1">
      <alignment horizontal="left" vertical="center" wrapText="1"/>
    </xf>
    <xf numFmtId="169" fontId="0" fillId="0" borderId="120" xfId="0" applyBorder="1" applyAlignment="1">
      <alignment vertical="top" wrapText="1"/>
    </xf>
    <xf numFmtId="165" fontId="10" fillId="23" borderId="5" xfId="6" applyNumberFormat="1" applyFont="1" applyFill="1" applyBorder="1" applyAlignment="1">
      <alignment horizontal="center"/>
    </xf>
    <xf numFmtId="165" fontId="10" fillId="23" borderId="5" xfId="6" quotePrefix="1" applyNumberFormat="1" applyFont="1" applyFill="1" applyBorder="1" applyAlignment="1">
      <alignment horizontal="center"/>
    </xf>
    <xf numFmtId="165" fontId="10" fillId="23" borderId="6" xfId="6" applyNumberFormat="1" applyFont="1" applyFill="1" applyBorder="1" applyAlignment="1">
      <alignment horizontal="center"/>
    </xf>
    <xf numFmtId="165" fontId="10" fillId="23" borderId="6" xfId="6" quotePrefix="1" applyNumberFormat="1" applyFont="1" applyFill="1" applyBorder="1" applyAlignment="1">
      <alignment horizontal="center"/>
    </xf>
    <xf numFmtId="165" fontId="11" fillId="23" borderId="5" xfId="6" applyNumberFormat="1" applyFont="1" applyFill="1" applyBorder="1" applyAlignment="1">
      <alignment horizontal="center"/>
    </xf>
    <xf numFmtId="165" fontId="11" fillId="23" borderId="5" xfId="6" quotePrefix="1" applyNumberFormat="1" applyFont="1" applyFill="1" applyBorder="1" applyAlignment="1">
      <alignment horizontal="center"/>
    </xf>
    <xf numFmtId="165" fontId="12" fillId="23" borderId="0" xfId="6" applyNumberFormat="1" applyFont="1" applyFill="1" applyBorder="1" applyAlignment="1">
      <alignment horizontal="center"/>
    </xf>
    <xf numFmtId="165" fontId="10" fillId="23" borderId="9" xfId="6" applyNumberFormat="1" applyFont="1" applyFill="1" applyBorder="1" applyAlignment="1">
      <alignment horizontal="center"/>
    </xf>
    <xf numFmtId="165" fontId="10" fillId="23" borderId="0" xfId="6" quotePrefix="1" applyNumberFormat="1" applyFont="1" applyFill="1" applyBorder="1" applyAlignment="1">
      <alignment horizontal="center"/>
    </xf>
    <xf numFmtId="165" fontId="10" fillId="23" borderId="0" xfId="6" applyNumberFormat="1" applyFont="1" applyFill="1" applyBorder="1" applyAlignment="1">
      <alignment horizontal="center"/>
    </xf>
    <xf numFmtId="165" fontId="10" fillId="23" borderId="9" xfId="6" quotePrefix="1" applyNumberFormat="1" applyFont="1" applyFill="1" applyBorder="1" applyAlignment="1">
      <alignment horizontal="center"/>
    </xf>
    <xf numFmtId="165" fontId="11" fillId="23" borderId="0" xfId="6" applyNumberFormat="1" applyFont="1" applyFill="1" applyBorder="1" applyAlignment="1">
      <alignment horizontal="center"/>
    </xf>
    <xf numFmtId="165" fontId="10" fillId="23" borderId="12" xfId="6" applyNumberFormat="1" applyFont="1" applyFill="1" applyBorder="1" applyAlignment="1">
      <alignment horizontal="center"/>
    </xf>
    <xf numFmtId="165" fontId="10" fillId="23" borderId="13" xfId="6" applyNumberFormat="1" applyFont="1" applyFill="1" applyBorder="1" applyAlignment="1">
      <alignment horizontal="center"/>
    </xf>
    <xf numFmtId="165" fontId="10" fillId="23" borderId="12" xfId="6" quotePrefix="1" applyNumberFormat="1" applyFont="1" applyFill="1" applyBorder="1" applyAlignment="1">
      <alignment horizontal="center"/>
    </xf>
    <xf numFmtId="165" fontId="10" fillId="23" borderId="13" xfId="6" quotePrefix="1" applyNumberFormat="1" applyFont="1" applyFill="1" applyBorder="1" applyAlignment="1">
      <alignment horizontal="center"/>
    </xf>
    <xf numFmtId="165" fontId="11" fillId="23" borderId="12" xfId="6" applyNumberFormat="1" applyFont="1" applyFill="1" applyBorder="1" applyAlignment="1">
      <alignment horizontal="center"/>
    </xf>
    <xf numFmtId="169" fontId="52" fillId="12" borderId="21" xfId="0" applyFont="1" applyFill="1" applyBorder="1" applyAlignment="1">
      <alignment horizontal="left" vertical="center" wrapText="1"/>
    </xf>
    <xf numFmtId="169" fontId="52" fillId="12" borderId="82" xfId="0" applyFont="1" applyFill="1" applyBorder="1" applyAlignment="1">
      <alignment horizontal="left" vertical="center" wrapText="1"/>
    </xf>
    <xf numFmtId="169" fontId="77" fillId="0" borderId="21" xfId="0" applyFont="1" applyFill="1" applyBorder="1" applyAlignment="1">
      <alignment horizontal="left" vertical="center" wrapText="1"/>
    </xf>
    <xf numFmtId="169" fontId="0" fillId="0" borderId="82" xfId="0" applyBorder="1"/>
    <xf numFmtId="169" fontId="0" fillId="0" borderId="21" xfId="0" applyBorder="1" applyAlignment="1">
      <alignment horizontal="justify" wrapText="1"/>
    </xf>
    <xf numFmtId="169" fontId="74" fillId="0" borderId="21" xfId="0" applyFont="1" applyFill="1" applyBorder="1" applyAlignment="1">
      <alignment horizontal="left" vertical="center" wrapText="1"/>
    </xf>
    <xf numFmtId="169" fontId="74" fillId="0" borderId="82" xfId="0" applyFont="1" applyFill="1" applyBorder="1" applyAlignment="1">
      <alignment horizontal="left" vertical="center" wrapText="1"/>
    </xf>
    <xf numFmtId="169" fontId="77" fillId="0" borderId="82" xfId="0" applyFont="1" applyFill="1" applyBorder="1" applyAlignment="1">
      <alignment horizontal="left" vertical="center" wrapText="1"/>
    </xf>
    <xf numFmtId="169" fontId="0" fillId="0" borderId="124" xfId="0" applyBorder="1"/>
    <xf numFmtId="169" fontId="46" fillId="0" borderId="82" xfId="0" applyFont="1" applyFill="1" applyBorder="1" applyAlignment="1">
      <alignment horizontal="justify" wrapText="1"/>
    </xf>
    <xf numFmtId="169" fontId="77" fillId="0" borderId="124" xfId="0" applyFont="1" applyFill="1" applyBorder="1" applyAlignment="1">
      <alignment horizontal="left" vertical="center" wrapText="1"/>
    </xf>
    <xf numFmtId="169" fontId="77" fillId="0" borderId="125" xfId="0" applyFont="1" applyFill="1" applyBorder="1" applyAlignment="1">
      <alignment horizontal="left" vertical="center" wrapText="1"/>
    </xf>
    <xf numFmtId="169" fontId="52" fillId="12" borderId="105" xfId="0" applyFont="1" applyFill="1" applyBorder="1" applyAlignment="1">
      <alignment horizontal="left" vertical="center" wrapText="1"/>
    </xf>
    <xf numFmtId="169" fontId="52" fillId="12" borderId="62" xfId="0" applyFont="1" applyFill="1" applyBorder="1" applyAlignment="1">
      <alignment horizontal="left" vertical="center" wrapText="1"/>
    </xf>
    <xf numFmtId="169" fontId="52" fillId="12" borderId="18" xfId="0" applyFont="1" applyFill="1" applyBorder="1" applyAlignment="1">
      <alignment horizontal="left" vertical="center" wrapText="1"/>
    </xf>
    <xf numFmtId="169" fontId="0" fillId="0" borderId="62" xfId="0" applyBorder="1"/>
    <xf numFmtId="169" fontId="0" fillId="0" borderId="18" xfId="0" applyBorder="1"/>
    <xf numFmtId="169" fontId="75" fillId="12" borderId="88" xfId="0" applyFont="1" applyFill="1" applyBorder="1" applyAlignment="1">
      <alignment horizontal="left" vertical="center" wrapText="1"/>
    </xf>
    <xf numFmtId="169" fontId="75" fillId="12" borderId="16" xfId="0" applyFont="1" applyFill="1" applyBorder="1" applyAlignment="1">
      <alignment horizontal="left" vertical="center" wrapText="1"/>
    </xf>
    <xf numFmtId="169" fontId="72" fillId="0" borderId="21" xfId="0" applyFont="1" applyFill="1" applyBorder="1" applyAlignment="1">
      <alignment vertical="top" wrapText="1"/>
    </xf>
    <xf numFmtId="169" fontId="71" fillId="0" borderId="122" xfId="151" applyBorder="1" applyAlignment="1" applyProtection="1">
      <alignment vertical="top"/>
    </xf>
    <xf numFmtId="169" fontId="0" fillId="0" borderId="123" xfId="0" applyBorder="1" applyAlignment="1">
      <alignment vertical="top"/>
    </xf>
    <xf numFmtId="169" fontId="0" fillId="0" borderId="105" xfId="0" applyFill="1" applyBorder="1"/>
    <xf numFmtId="169" fontId="0" fillId="0" borderId="122" xfId="0" applyBorder="1" applyAlignment="1">
      <alignment horizontal="justify" vertical="top"/>
    </xf>
    <xf numFmtId="169" fontId="0" fillId="0" borderId="21" xfId="0" applyBorder="1" applyAlignment="1">
      <alignment horizontal="left" vertical="top" indent="2"/>
    </xf>
    <xf numFmtId="169" fontId="0" fillId="0" borderId="21" xfId="0" applyBorder="1" applyAlignment="1">
      <alignment horizontal="justify" vertical="top"/>
    </xf>
    <xf numFmtId="169" fontId="0" fillId="0" borderId="105" xfId="0" applyBorder="1" applyAlignment="1">
      <alignment horizontal="justify" vertical="top"/>
    </xf>
    <xf numFmtId="169" fontId="0" fillId="0" borderId="122" xfId="0" applyFill="1" applyBorder="1"/>
    <xf numFmtId="169" fontId="6" fillId="23" borderId="19" xfId="0" applyFont="1" applyFill="1" applyBorder="1"/>
    <xf numFmtId="169" fontId="0" fillId="0" borderId="128" xfId="0" applyBorder="1"/>
    <xf numFmtId="169" fontId="71" fillId="0" borderId="21" xfId="151" applyBorder="1" applyAlignment="1" applyProtection="1">
      <alignment vertical="top"/>
    </xf>
    <xf numFmtId="169" fontId="0" fillId="0" borderId="0" xfId="0" applyBorder="1" applyAlignment="1">
      <alignment vertical="top" wrapText="1"/>
    </xf>
    <xf numFmtId="169" fontId="0" fillId="0" borderId="129" xfId="0" applyBorder="1"/>
    <xf numFmtId="169" fontId="85" fillId="0" borderId="128" xfId="0" applyFont="1" applyBorder="1"/>
    <xf numFmtId="169" fontId="16" fillId="0" borderId="12" xfId="8" applyFont="1" applyFill="1" applyBorder="1" applyAlignment="1">
      <alignment wrapText="1"/>
    </xf>
    <xf numFmtId="169" fontId="0" fillId="0" borderId="0" xfId="0" applyBorder="1" applyAlignment="1">
      <alignment horizontal="left"/>
    </xf>
    <xf numFmtId="169" fontId="0" fillId="0" borderId="131" xfId="0" applyBorder="1"/>
    <xf numFmtId="169" fontId="23" fillId="0" borderId="120" xfId="0" applyFont="1" applyBorder="1" applyAlignment="1">
      <alignment vertical="top" wrapText="1"/>
    </xf>
    <xf numFmtId="169" fontId="23" fillId="0" borderId="123" xfId="0" applyFont="1" applyBorder="1" applyAlignment="1">
      <alignment vertical="top"/>
    </xf>
    <xf numFmtId="169" fontId="23" fillId="0" borderId="129" xfId="0" applyFont="1" applyBorder="1"/>
    <xf numFmtId="169" fontId="23" fillId="0" borderId="131" xfId="0" applyFont="1" applyBorder="1"/>
    <xf numFmtId="169" fontId="23" fillId="0" borderId="128" xfId="0" applyFont="1" applyBorder="1"/>
    <xf numFmtId="169" fontId="52" fillId="12" borderId="19" xfId="0" applyFont="1" applyFill="1" applyBorder="1" applyAlignment="1">
      <alignment horizontal="left" vertical="center" wrapText="1"/>
    </xf>
    <xf numFmtId="49" fontId="88" fillId="23" borderId="19" xfId="0" applyNumberFormat="1" applyFont="1" applyFill="1" applyBorder="1"/>
    <xf numFmtId="169" fontId="44" fillId="0" borderId="21" xfId="0" applyFont="1" applyFill="1" applyBorder="1" applyAlignment="1">
      <alignment horizontal="justify" vertical="top"/>
    </xf>
    <xf numFmtId="169" fontId="44" fillId="0" borderId="124" xfId="0" applyFont="1" applyFill="1" applyBorder="1" applyAlignment="1">
      <alignment horizontal="justify" vertical="top"/>
    </xf>
    <xf numFmtId="169" fontId="0" fillId="0" borderId="123" xfId="0" applyFill="1" applyBorder="1" applyAlignment="1">
      <alignment horizontal="left"/>
    </xf>
    <xf numFmtId="169" fontId="0" fillId="0" borderId="18" xfId="0" applyFill="1" applyBorder="1" applyAlignment="1">
      <alignment horizontal="left"/>
    </xf>
    <xf numFmtId="169" fontId="71" fillId="0" borderId="0" xfId="151" applyBorder="1" applyAlignment="1" applyProtection="1">
      <alignment vertical="top"/>
    </xf>
    <xf numFmtId="169" fontId="6" fillId="0" borderId="121" xfId="0" applyFont="1" applyBorder="1"/>
    <xf numFmtId="169" fontId="71" fillId="0" borderId="82" xfId="151" applyBorder="1" applyAlignment="1" applyProtection="1"/>
    <xf numFmtId="169" fontId="71" fillId="0" borderId="82" xfId="151" quotePrefix="1" applyBorder="1" applyAlignment="1" applyProtection="1"/>
    <xf numFmtId="169" fontId="6" fillId="0" borderId="125" xfId="0" applyFont="1" applyBorder="1"/>
    <xf numFmtId="165" fontId="10" fillId="0" borderId="5" xfId="6" applyNumberFormat="1" applyFont="1" applyFill="1" applyBorder="1" applyAlignment="1">
      <alignment horizontal="center"/>
    </xf>
    <xf numFmtId="165" fontId="10" fillId="0" borderId="5" xfId="6" quotePrefix="1" applyNumberFormat="1" applyFont="1" applyFill="1" applyBorder="1" applyAlignment="1">
      <alignment horizontal="center"/>
    </xf>
    <xf numFmtId="165" fontId="11" fillId="0" borderId="5" xfId="6" applyNumberFormat="1" applyFont="1" applyFill="1" applyBorder="1" applyAlignment="1">
      <alignment horizontal="center"/>
    </xf>
    <xf numFmtId="165" fontId="10" fillId="0" borderId="4" xfId="6" applyNumberFormat="1" applyFont="1" applyFill="1" applyBorder="1" applyAlignment="1">
      <alignment horizontal="center"/>
    </xf>
    <xf numFmtId="169" fontId="23" fillId="0" borderId="5" xfId="0" applyFont="1" applyFill="1" applyBorder="1" applyAlignment="1">
      <alignment horizontal="left" vertical="top" wrapText="1"/>
    </xf>
    <xf numFmtId="165" fontId="10" fillId="0" borderId="0" xfId="6" quotePrefix="1" applyNumberFormat="1" applyFont="1" applyFill="1" applyBorder="1" applyAlignment="1">
      <alignment horizontal="center"/>
    </xf>
    <xf numFmtId="165" fontId="10" fillId="0" borderId="0" xfId="6" applyNumberFormat="1" applyFont="1" applyFill="1" applyBorder="1" applyAlignment="1">
      <alignment horizontal="center"/>
    </xf>
    <xf numFmtId="165" fontId="11" fillId="0" borderId="0" xfId="6" applyNumberFormat="1" applyFont="1" applyFill="1" applyBorder="1" applyAlignment="1">
      <alignment horizontal="center"/>
    </xf>
    <xf numFmtId="165" fontId="12" fillId="0" borderId="0" xfId="6" applyNumberFormat="1" applyFont="1" applyFill="1" applyBorder="1"/>
    <xf numFmtId="169" fontId="23" fillId="0" borderId="3" xfId="0" applyFont="1" applyFill="1" applyBorder="1" applyAlignment="1">
      <alignment horizontal="left" vertical="top" wrapText="1"/>
    </xf>
    <xf numFmtId="169" fontId="0" fillId="0" borderId="62" xfId="0" applyFill="1" applyBorder="1"/>
    <xf numFmtId="169" fontId="5" fillId="0" borderId="0" xfId="0" applyFont="1" applyBorder="1"/>
    <xf numFmtId="169" fontId="5" fillId="0" borderId="0" xfId="0" applyFont="1" applyFill="1" applyBorder="1"/>
    <xf numFmtId="169" fontId="0" fillId="0" borderId="143" xfId="0" applyBorder="1"/>
    <xf numFmtId="169" fontId="0" fillId="0" borderId="144" xfId="0" applyBorder="1"/>
    <xf numFmtId="169" fontId="23" fillId="0" borderId="0" xfId="0" applyFont="1" applyBorder="1" applyAlignment="1">
      <alignment vertical="top" wrapText="1"/>
    </xf>
    <xf numFmtId="169" fontId="23" fillId="0" borderId="82" xfId="0" applyFont="1" applyBorder="1" applyAlignment="1">
      <alignment vertical="top"/>
    </xf>
    <xf numFmtId="3" fontId="0" fillId="13" borderId="15" xfId="0" quotePrefix="1" applyNumberFormat="1" applyFill="1" applyBorder="1" applyAlignment="1">
      <alignment horizontal="center"/>
    </xf>
    <xf numFmtId="169" fontId="23" fillId="0" borderId="123" xfId="0" applyFont="1" applyBorder="1" applyAlignment="1">
      <alignment vertical="top" wrapText="1"/>
    </xf>
    <xf numFmtId="169" fontId="17" fillId="0" borderId="0" xfId="0" applyFont="1" applyFill="1" applyAlignment="1">
      <alignment horizontal="center"/>
    </xf>
    <xf numFmtId="165" fontId="0" fillId="0" borderId="0" xfId="0" applyNumberFormat="1" applyFill="1" applyBorder="1" applyAlignment="1">
      <alignment horizontal="center"/>
    </xf>
    <xf numFmtId="169" fontId="5" fillId="0" borderId="0" xfId="0" applyFont="1" applyBorder="1" applyAlignment="1">
      <alignment horizontal="left"/>
    </xf>
    <xf numFmtId="169" fontId="17" fillId="0" borderId="0" xfId="0" applyFont="1" applyBorder="1" applyAlignment="1">
      <alignment horizontal="center"/>
    </xf>
    <xf numFmtId="170" fontId="0" fillId="3" borderId="0" xfId="0" quotePrefix="1" applyNumberFormat="1" applyFill="1" applyBorder="1" applyAlignment="1">
      <alignment horizontal="center"/>
    </xf>
    <xf numFmtId="170" fontId="0" fillId="3" borderId="0" xfId="0" applyNumberFormat="1" applyFill="1" applyBorder="1" applyAlignment="1">
      <alignment horizontal="center"/>
    </xf>
    <xf numFmtId="3" fontId="17" fillId="0" borderId="0" xfId="0" applyNumberFormat="1" applyFont="1" applyBorder="1" applyAlignment="1">
      <alignment horizontal="center"/>
    </xf>
    <xf numFmtId="169" fontId="17" fillId="0" borderId="0" xfId="0" applyFont="1" applyFill="1" applyBorder="1" applyAlignment="1">
      <alignment horizontal="center"/>
    </xf>
    <xf numFmtId="165" fontId="0" fillId="0" borderId="0" xfId="0" quotePrefix="1" applyNumberFormat="1" applyFill="1" applyBorder="1" applyAlignment="1">
      <alignment horizontal="center"/>
    </xf>
    <xf numFmtId="169" fontId="16" fillId="0" borderId="7" xfId="8" applyFont="1" applyFill="1" applyBorder="1" applyAlignment="1">
      <alignment wrapText="1"/>
    </xf>
    <xf numFmtId="169" fontId="40" fillId="0" borderId="7" xfId="8" applyFont="1" applyFill="1" applyBorder="1" applyAlignment="1">
      <alignment wrapText="1"/>
    </xf>
    <xf numFmtId="169" fontId="5" fillId="0" borderId="8" xfId="0" applyFont="1" applyBorder="1"/>
    <xf numFmtId="169" fontId="0" fillId="0" borderId="8" xfId="0" applyBorder="1"/>
    <xf numFmtId="169" fontId="16" fillId="0" borderId="10" xfId="8" applyFont="1" applyFill="1" applyBorder="1" applyAlignment="1">
      <alignment wrapText="1"/>
    </xf>
    <xf numFmtId="169" fontId="0" fillId="0" borderId="11" xfId="0" applyBorder="1"/>
    <xf numFmtId="169" fontId="5" fillId="0" borderId="8" xfId="0" applyFont="1" applyBorder="1" applyAlignment="1">
      <alignment horizontal="left"/>
    </xf>
    <xf numFmtId="169" fontId="0" fillId="0" borderId="12" xfId="0" applyBorder="1"/>
    <xf numFmtId="169" fontId="5" fillId="0" borderId="11" xfId="0" applyFont="1" applyBorder="1" applyAlignment="1">
      <alignment horizontal="left"/>
    </xf>
    <xf numFmtId="169" fontId="0" fillId="0" borderId="12" xfId="0" applyFill="1" applyBorder="1"/>
    <xf numFmtId="169" fontId="0" fillId="0" borderId="0" xfId="0" applyFill="1" applyBorder="1" applyAlignment="1">
      <alignment horizontal="left"/>
    </xf>
    <xf numFmtId="169" fontId="0" fillId="0" borderId="121" xfId="0" applyFont="1" applyFill="1" applyBorder="1"/>
    <xf numFmtId="169" fontId="39" fillId="0" borderId="145" xfId="8" applyFont="1" applyFill="1" applyBorder="1" applyAlignment="1">
      <alignment wrapText="1"/>
    </xf>
    <xf numFmtId="169" fontId="6" fillId="23" borderId="104" xfId="0" applyFont="1" applyFill="1" applyBorder="1"/>
    <xf numFmtId="169" fontId="6" fillId="23" borderId="53" xfId="0" applyFont="1" applyFill="1" applyBorder="1"/>
    <xf numFmtId="169" fontId="6" fillId="23" borderId="103" xfId="0" applyFont="1" applyFill="1" applyBorder="1"/>
    <xf numFmtId="3" fontId="0" fillId="0" borderId="62" xfId="0" applyNumberFormat="1" applyFill="1" applyBorder="1"/>
    <xf numFmtId="169" fontId="71" fillId="0" borderId="18" xfId="151" applyBorder="1" applyAlignment="1" applyProtection="1"/>
    <xf numFmtId="169" fontId="85" fillId="0" borderId="147" xfId="0" applyFont="1" applyBorder="1"/>
    <xf numFmtId="169" fontId="5" fillId="0" borderId="62" xfId="0" applyFont="1" applyBorder="1"/>
    <xf numFmtId="169" fontId="5" fillId="0" borderId="18" xfId="0" applyFont="1" applyBorder="1"/>
    <xf numFmtId="169" fontId="71" fillId="0" borderId="18" xfId="151" quotePrefix="1" applyBorder="1" applyAlignment="1" applyProtection="1"/>
    <xf numFmtId="169" fontId="6" fillId="23" borderId="3" xfId="0" applyFont="1" applyFill="1" applyBorder="1"/>
    <xf numFmtId="169" fontId="39" fillId="23" borderId="3" xfId="8" applyFont="1" applyFill="1" applyBorder="1" applyAlignment="1">
      <alignment wrapText="1"/>
    </xf>
    <xf numFmtId="169" fontId="24" fillId="0" borderId="0" xfId="0" applyFont="1" applyBorder="1" applyAlignment="1">
      <alignment horizontal="justify"/>
    </xf>
    <xf numFmtId="169" fontId="0" fillId="0" borderId="0" xfId="0" applyFill="1" applyBorder="1" applyAlignment="1">
      <alignment horizontal="left" vertical="top" indent="2"/>
    </xf>
    <xf numFmtId="169" fontId="25" fillId="0" borderId="0" xfId="0" applyFont="1" applyBorder="1"/>
    <xf numFmtId="169" fontId="0" fillId="23" borderId="149" xfId="0" applyFont="1" applyFill="1" applyBorder="1"/>
    <xf numFmtId="169" fontId="0" fillId="23" borderId="150" xfId="0" applyFont="1" applyFill="1" applyBorder="1"/>
    <xf numFmtId="169" fontId="0" fillId="23" borderId="53" xfId="0" applyFont="1" applyFill="1" applyBorder="1"/>
    <xf numFmtId="169" fontId="0" fillId="23" borderId="103" xfId="0" applyFont="1" applyFill="1" applyBorder="1"/>
    <xf numFmtId="169" fontId="0" fillId="0" borderId="151" xfId="0" applyBorder="1"/>
    <xf numFmtId="169" fontId="0" fillId="0" borderId="126" xfId="0" applyBorder="1"/>
    <xf numFmtId="169" fontId="0" fillId="0" borderId="152" xfId="0" applyBorder="1"/>
    <xf numFmtId="169" fontId="0" fillId="0" borderId="153" xfId="0" applyBorder="1"/>
    <xf numFmtId="169" fontId="0" fillId="0" borderId="154" xfId="0" applyBorder="1"/>
    <xf numFmtId="169" fontId="0" fillId="0" borderId="155" xfId="0" applyBorder="1"/>
    <xf numFmtId="3" fontId="0" fillId="0" borderId="156" xfId="0" applyNumberFormat="1" applyFill="1" applyBorder="1"/>
    <xf numFmtId="169" fontId="0" fillId="0" borderId="156" xfId="0" applyBorder="1"/>
    <xf numFmtId="169" fontId="6" fillId="0" borderId="121" xfId="0" applyFont="1" applyBorder="1" applyAlignment="1">
      <alignment horizontal="center"/>
    </xf>
    <xf numFmtId="169" fontId="0" fillId="23" borderId="5" xfId="0" applyFill="1" applyBorder="1"/>
    <xf numFmtId="169" fontId="94" fillId="23" borderId="4" xfId="0" applyFont="1" applyFill="1" applyBorder="1"/>
    <xf numFmtId="169" fontId="94" fillId="0" borderId="8" xfId="0" applyFont="1" applyFill="1" applyBorder="1"/>
    <xf numFmtId="169" fontId="40" fillId="0" borderId="145" xfId="8" applyFont="1" applyFill="1" applyBorder="1" applyAlignment="1">
      <alignment wrapText="1"/>
    </xf>
    <xf numFmtId="169" fontId="0" fillId="0" borderId="121" xfId="0" applyFill="1" applyBorder="1"/>
    <xf numFmtId="169" fontId="6" fillId="0" borderId="121" xfId="0" applyFont="1" applyFill="1" applyBorder="1"/>
    <xf numFmtId="169" fontId="94" fillId="0" borderId="8" xfId="0" applyFont="1" applyBorder="1"/>
    <xf numFmtId="169" fontId="0" fillId="0" borderId="158" xfId="0" applyBorder="1"/>
    <xf numFmtId="169" fontId="0" fillId="0" borderId="82" xfId="0" applyBorder="1" applyAlignment="1"/>
    <xf numFmtId="169" fontId="44" fillId="0" borderId="7" xfId="0" applyFont="1" applyFill="1" applyBorder="1" applyAlignment="1">
      <alignment horizontal="left" vertical="top" wrapText="1"/>
    </xf>
    <xf numFmtId="169" fontId="44" fillId="0" borderId="0" xfId="0" applyFont="1" applyFill="1" applyBorder="1" applyAlignment="1">
      <alignment horizontal="left" vertical="top" wrapText="1"/>
    </xf>
    <xf numFmtId="165" fontId="10" fillId="0" borderId="8" xfId="6" applyNumberFormat="1" applyFont="1" applyFill="1" applyBorder="1" applyAlignment="1">
      <alignment horizontal="center"/>
    </xf>
    <xf numFmtId="169" fontId="6" fillId="0" borderId="163" xfId="0" applyFont="1" applyBorder="1"/>
    <xf numFmtId="169" fontId="0" fillId="0" borderId="164" xfId="0" applyBorder="1" applyAlignment="1">
      <alignment horizontal="center"/>
    </xf>
    <xf numFmtId="165" fontId="6" fillId="0" borderId="164" xfId="0" applyNumberFormat="1" applyFont="1" applyBorder="1" applyAlignment="1">
      <alignment horizontal="center"/>
    </xf>
    <xf numFmtId="165" fontId="6" fillId="0" borderId="165" xfId="0" applyNumberFormat="1" applyFont="1" applyBorder="1" applyAlignment="1">
      <alignment horizontal="center"/>
    </xf>
    <xf numFmtId="165" fontId="13" fillId="0" borderId="164" xfId="0" applyNumberFormat="1" applyFont="1" applyBorder="1" applyAlignment="1">
      <alignment horizontal="center"/>
    </xf>
    <xf numFmtId="169" fontId="6" fillId="0" borderId="166" xfId="0" applyFont="1" applyBorder="1"/>
    <xf numFmtId="169" fontId="0" fillId="0" borderId="162" xfId="0" applyBorder="1" applyAlignment="1">
      <alignment horizontal="center"/>
    </xf>
    <xf numFmtId="173" fontId="6" fillId="0" borderId="162" xfId="0" applyNumberFormat="1" applyFont="1" applyBorder="1" applyAlignment="1">
      <alignment horizontal="center"/>
    </xf>
    <xf numFmtId="173" fontId="6" fillId="0" borderId="167" xfId="0" applyNumberFormat="1" applyFont="1" applyBorder="1" applyAlignment="1">
      <alignment horizontal="center"/>
    </xf>
    <xf numFmtId="173" fontId="13" fillId="0" borderId="162" xfId="0" applyNumberFormat="1" applyFont="1" applyBorder="1" applyAlignment="1">
      <alignment horizontal="center"/>
    </xf>
    <xf numFmtId="169" fontId="0" fillId="0" borderId="168" xfId="0" applyBorder="1"/>
    <xf numFmtId="169" fontId="16" fillId="0" borderId="131" xfId="8" applyFont="1" applyFill="1" applyBorder="1" applyAlignment="1">
      <alignment wrapText="1"/>
    </xf>
    <xf numFmtId="165" fontId="0" fillId="2" borderId="131" xfId="0" applyNumberFormat="1" applyFill="1" applyBorder="1" applyAlignment="1">
      <alignment horizontal="center"/>
    </xf>
    <xf numFmtId="165" fontId="6" fillId="0" borderId="169" xfId="0" applyNumberFormat="1" applyFont="1" applyBorder="1" applyAlignment="1">
      <alignment horizontal="center"/>
    </xf>
    <xf numFmtId="165" fontId="14" fillId="2" borderId="131" xfId="0" applyNumberFormat="1" applyFont="1" applyFill="1" applyBorder="1" applyAlignment="1">
      <alignment horizontal="center"/>
    </xf>
    <xf numFmtId="169" fontId="0" fillId="0" borderId="162" xfId="0" applyBorder="1" applyAlignment="1">
      <alignment horizontal="left"/>
    </xf>
    <xf numFmtId="165" fontId="6" fillId="0" borderId="162" xfId="0" applyNumberFormat="1" applyFont="1" applyBorder="1" applyAlignment="1">
      <alignment horizontal="center"/>
    </xf>
    <xf numFmtId="165" fontId="6" fillId="0" borderId="167" xfId="0" applyNumberFormat="1" applyFont="1" applyBorder="1" applyAlignment="1">
      <alignment horizontal="center"/>
    </xf>
    <xf numFmtId="165" fontId="13" fillId="0" borderId="162" xfId="0" applyNumberFormat="1" applyFont="1" applyBorder="1" applyAlignment="1">
      <alignment horizontal="center"/>
    </xf>
    <xf numFmtId="169" fontId="6" fillId="0" borderId="168" xfId="0" applyFont="1" applyBorder="1"/>
    <xf numFmtId="165" fontId="0" fillId="2" borderId="131" xfId="0" applyNumberFormat="1" applyFont="1" applyFill="1" applyBorder="1" applyAlignment="1">
      <alignment horizontal="center"/>
    </xf>
    <xf numFmtId="165" fontId="0" fillId="0" borderId="169" xfId="0" applyNumberFormat="1" applyFont="1" applyBorder="1" applyAlignment="1">
      <alignment horizontal="center"/>
    </xf>
    <xf numFmtId="169" fontId="44" fillId="0" borderId="146" xfId="0" applyFont="1" applyFill="1" applyBorder="1"/>
    <xf numFmtId="169" fontId="44" fillId="0" borderId="146" xfId="0" applyFont="1" applyBorder="1"/>
    <xf numFmtId="169" fontId="6" fillId="0" borderId="131" xfId="0" applyFont="1" applyFill="1" applyBorder="1"/>
    <xf numFmtId="169" fontId="0" fillId="23" borderId="4" xfId="0" applyFill="1" applyBorder="1"/>
    <xf numFmtId="169" fontId="6" fillId="0" borderId="145" xfId="0" applyFont="1" applyBorder="1"/>
    <xf numFmtId="169" fontId="44" fillId="0" borderId="146" xfId="0" applyFont="1" applyBorder="1" applyAlignment="1">
      <alignment horizontal="center"/>
    </xf>
    <xf numFmtId="169" fontId="0" fillId="0" borderId="8" xfId="0" applyFill="1" applyBorder="1" applyAlignment="1">
      <alignment horizontal="center"/>
    </xf>
    <xf numFmtId="170" fontId="0" fillId="0" borderId="8" xfId="0" applyNumberFormat="1" applyFill="1" applyBorder="1" applyAlignment="1">
      <alignment horizontal="center"/>
    </xf>
    <xf numFmtId="169" fontId="39" fillId="0" borderId="7" xfId="8" applyFont="1" applyFill="1" applyBorder="1" applyAlignment="1">
      <alignment wrapText="1"/>
    </xf>
    <xf numFmtId="169" fontId="0" fillId="0" borderId="7" xfId="0" applyFill="1" applyBorder="1"/>
    <xf numFmtId="169" fontId="0" fillId="0" borderId="8" xfId="0" applyFill="1" applyBorder="1"/>
    <xf numFmtId="169" fontId="0" fillId="0" borderId="8" xfId="0" applyBorder="1" applyAlignment="1">
      <alignment horizontal="center"/>
    </xf>
    <xf numFmtId="169" fontId="5" fillId="0" borderId="8" xfId="0" applyFont="1" applyBorder="1" applyAlignment="1">
      <alignment horizontal="center"/>
    </xf>
    <xf numFmtId="165" fontId="0" fillId="0" borderId="12" xfId="0" quotePrefix="1" applyNumberFormat="1" applyFill="1" applyBorder="1" applyAlignment="1">
      <alignment horizontal="center"/>
    </xf>
    <xf numFmtId="169" fontId="6" fillId="0" borderId="7" xfId="0" applyFont="1" applyFill="1" applyBorder="1"/>
    <xf numFmtId="169" fontId="16" fillId="0" borderId="8" xfId="8" applyFont="1" applyFill="1" applyBorder="1" applyAlignment="1">
      <alignment wrapText="1"/>
    </xf>
    <xf numFmtId="169" fontId="17" fillId="0" borderId="168" xfId="0" applyFont="1" applyFill="1" applyBorder="1"/>
    <xf numFmtId="169" fontId="39" fillId="0" borderId="170" xfId="8" applyFont="1" applyFill="1" applyBorder="1" applyAlignment="1">
      <alignment wrapText="1"/>
    </xf>
    <xf numFmtId="169" fontId="0" fillId="0" borderId="10" xfId="0" applyFill="1" applyBorder="1"/>
    <xf numFmtId="169" fontId="0" fillId="0" borderId="11" xfId="0" applyFill="1" applyBorder="1"/>
    <xf numFmtId="169" fontId="6" fillId="0" borderId="168" xfId="0" applyFont="1" applyFill="1" applyBorder="1"/>
    <xf numFmtId="169" fontId="0" fillId="0" borderId="131" xfId="0" applyFill="1" applyBorder="1"/>
    <xf numFmtId="169" fontId="6" fillId="0" borderId="170" xfId="0" applyFont="1" applyFill="1" applyBorder="1"/>
    <xf numFmtId="169" fontId="16" fillId="0" borderId="171" xfId="8" applyFont="1" applyFill="1" applyBorder="1" applyAlignment="1">
      <alignment wrapText="1"/>
    </xf>
    <xf numFmtId="166"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69" fontId="5" fillId="0" borderId="0" xfId="0" applyFont="1" applyFill="1"/>
    <xf numFmtId="3" fontId="95" fillId="0" borderId="0" xfId="0" applyNumberFormat="1" applyFont="1" applyFill="1" applyBorder="1" applyAlignment="1">
      <alignment horizontal="center" vertical="center" wrapText="1"/>
    </xf>
    <xf numFmtId="166" fontId="0" fillId="0" borderId="0" xfId="0" applyNumberFormat="1" applyFill="1" applyAlignment="1">
      <alignment horizontal="center"/>
    </xf>
    <xf numFmtId="3" fontId="0" fillId="0" borderId="12" xfId="0" applyNumberFormat="1" applyFill="1" applyBorder="1"/>
    <xf numFmtId="2" fontId="0" fillId="3" borderId="162" xfId="0" applyNumberFormat="1" applyFill="1" applyBorder="1" applyAlignment="1">
      <alignment horizontal="center"/>
    </xf>
    <xf numFmtId="169" fontId="17" fillId="0" borderId="7" xfId="0" applyFont="1" applyFill="1" applyBorder="1"/>
    <xf numFmtId="169" fontId="0" fillId="0" borderId="166" xfId="0" applyFill="1" applyBorder="1"/>
    <xf numFmtId="169" fontId="0" fillId="0" borderId="7" xfId="0" applyFont="1" applyFill="1" applyBorder="1"/>
    <xf numFmtId="169" fontId="0" fillId="0" borderId="172" xfId="0" applyFill="1" applyBorder="1" applyAlignment="1">
      <alignment horizontal="left"/>
    </xf>
    <xf numFmtId="165" fontId="96" fillId="0" borderId="0" xfId="0" applyNumberFormat="1" applyFont="1" applyBorder="1" applyAlignment="1">
      <alignment horizontal="center"/>
    </xf>
    <xf numFmtId="3" fontId="5" fillId="0" borderId="0" xfId="0" applyNumberFormat="1" applyFont="1" applyAlignment="1">
      <alignment horizontal="center"/>
    </xf>
    <xf numFmtId="169" fontId="3" fillId="0" borderId="171" xfId="4" applyBorder="1"/>
    <xf numFmtId="169" fontId="3" fillId="0" borderId="0" xfId="4" applyBorder="1"/>
    <xf numFmtId="169" fontId="0" fillId="0" borderId="171" xfId="0" applyBorder="1"/>
    <xf numFmtId="169" fontId="44" fillId="23" borderId="3" xfId="4" applyFont="1" applyFill="1" applyBorder="1"/>
    <xf numFmtId="169" fontId="44" fillId="23" borderId="5" xfId="4" applyFont="1" applyFill="1" applyBorder="1"/>
    <xf numFmtId="169" fontId="23" fillId="23" borderId="5" xfId="0" applyFont="1" applyFill="1" applyBorder="1"/>
    <xf numFmtId="169" fontId="23" fillId="23" borderId="4" xfId="0" applyFont="1" applyFill="1" applyBorder="1"/>
    <xf numFmtId="169" fontId="0" fillId="0" borderId="0" xfId="0" applyFont="1" applyBorder="1"/>
    <xf numFmtId="169" fontId="0" fillId="0" borderId="131" xfId="0" applyFont="1" applyFill="1" applyBorder="1"/>
    <xf numFmtId="169" fontId="0" fillId="0" borderId="170" xfId="0" applyFont="1" applyFill="1" applyBorder="1"/>
    <xf numFmtId="9" fontId="23" fillId="0" borderId="0" xfId="0" applyNumberFormat="1" applyFont="1" applyFill="1" applyBorder="1"/>
    <xf numFmtId="9" fontId="0" fillId="0" borderId="8" xfId="0" applyNumberFormat="1" applyFont="1" applyFill="1" applyBorder="1"/>
    <xf numFmtId="169" fontId="0" fillId="0" borderId="168" xfId="0" applyFont="1" applyFill="1" applyBorder="1"/>
    <xf numFmtId="169" fontId="0" fillId="0" borderId="171" xfId="0" applyFill="1" applyBorder="1"/>
    <xf numFmtId="10" fontId="0" fillId="0" borderId="131" xfId="54" applyNumberFormat="1" applyFont="1" applyFill="1" applyBorder="1" applyAlignment="1">
      <alignment horizontal="center" vertical="center"/>
    </xf>
    <xf numFmtId="169" fontId="0" fillId="0" borderId="170" xfId="0" applyFill="1" applyBorder="1"/>
    <xf numFmtId="169" fontId="49" fillId="0" borderId="168" xfId="0" applyFont="1" applyFill="1" applyBorder="1" applyAlignment="1">
      <alignment vertical="center"/>
    </xf>
    <xf numFmtId="169" fontId="0" fillId="0" borderId="131" xfId="0" applyFont="1" applyFill="1" applyBorder="1" applyAlignment="1">
      <alignment horizontal="center" vertical="center"/>
    </xf>
    <xf numFmtId="169" fontId="0" fillId="0" borderId="166" xfId="0" applyFont="1" applyFill="1" applyBorder="1" applyAlignment="1">
      <alignment vertical="center"/>
    </xf>
    <xf numFmtId="166" fontId="0" fillId="0" borderId="162" xfId="0" applyNumberFormat="1" applyFont="1" applyFill="1" applyBorder="1" applyAlignment="1">
      <alignment horizontal="center" vertical="center"/>
    </xf>
    <xf numFmtId="1" fontId="0" fillId="0" borderId="162" xfId="0" applyNumberFormat="1" applyFont="1" applyFill="1" applyBorder="1" applyAlignment="1">
      <alignment horizontal="center" vertical="center"/>
    </xf>
    <xf numFmtId="169" fontId="0" fillId="0" borderId="171" xfId="0" applyFont="1" applyFill="1" applyBorder="1" applyAlignment="1">
      <alignment vertical="center"/>
    </xf>
    <xf numFmtId="166"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69" fontId="0" fillId="0" borderId="0" xfId="0" applyFont="1" applyFill="1" applyBorder="1" applyAlignment="1">
      <alignment horizontal="center" vertical="center"/>
    </xf>
    <xf numFmtId="10" fontId="4" fillId="0" borderId="0" xfId="54" applyNumberFormat="1" applyFont="1" applyFill="1" applyBorder="1" applyAlignment="1">
      <alignment horizontal="center" vertical="center"/>
    </xf>
    <xf numFmtId="10" fontId="4" fillId="3" borderId="0" xfId="54" applyNumberFormat="1" applyFont="1" applyFill="1" applyBorder="1" applyAlignment="1">
      <alignment horizontal="center" vertical="center"/>
    </xf>
    <xf numFmtId="169" fontId="0" fillId="0" borderId="8" xfId="0" applyFont="1" applyFill="1" applyBorder="1"/>
    <xf numFmtId="169" fontId="50" fillId="0" borderId="0" xfId="0" applyFont="1" applyFill="1" applyBorder="1"/>
    <xf numFmtId="10" fontId="4" fillId="0" borderId="131" xfId="54" applyNumberFormat="1" applyFont="1" applyFill="1" applyBorder="1" applyAlignment="1">
      <alignment horizontal="center" vertical="center"/>
    </xf>
    <xf numFmtId="169" fontId="6" fillId="0" borderId="3" xfId="0" applyFont="1" applyBorder="1"/>
    <xf numFmtId="169" fontId="23" fillId="0" borderId="171" xfId="0" applyFont="1" applyBorder="1"/>
    <xf numFmtId="169" fontId="23" fillId="0" borderId="171" xfId="0" applyFont="1" applyFill="1" applyBorder="1"/>
    <xf numFmtId="169" fontId="23" fillId="0" borderId="0" xfId="0" applyFont="1" applyFill="1" applyBorder="1"/>
    <xf numFmtId="9" fontId="23" fillId="0" borderId="0" xfId="0" applyNumberFormat="1" applyFont="1" applyBorder="1"/>
    <xf numFmtId="169" fontId="47" fillId="0" borderId="10" xfId="0" applyFont="1" applyBorder="1"/>
    <xf numFmtId="9" fontId="47" fillId="0" borderId="12" xfId="0" applyNumberFormat="1" applyFont="1" applyBorder="1"/>
    <xf numFmtId="169" fontId="23" fillId="0" borderId="171" xfId="4" applyFont="1" applyFill="1" applyBorder="1"/>
    <xf numFmtId="169" fontId="23" fillId="0" borderId="8" xfId="0" applyFont="1" applyFill="1" applyBorder="1"/>
    <xf numFmtId="169" fontId="23" fillId="0" borderId="168" xfId="4" applyFont="1" applyBorder="1"/>
    <xf numFmtId="169" fontId="23" fillId="0" borderId="170" xfId="0" applyFont="1" applyBorder="1"/>
    <xf numFmtId="169" fontId="6" fillId="0" borderId="3" xfId="0" applyFont="1" applyFill="1" applyBorder="1"/>
    <xf numFmtId="169" fontId="6" fillId="0" borderId="0" xfId="0" applyFont="1" applyFill="1"/>
    <xf numFmtId="9" fontId="23" fillId="3" borderId="0" xfId="0" applyNumberFormat="1" applyFont="1" applyFill="1" applyBorder="1"/>
    <xf numFmtId="169" fontId="23" fillId="0" borderId="157" xfId="0" applyFont="1" applyBorder="1"/>
    <xf numFmtId="169" fontId="23" fillId="0" borderId="8" xfId="0" applyFont="1" applyBorder="1"/>
    <xf numFmtId="173" fontId="13" fillId="0" borderId="0" xfId="0" applyNumberFormat="1" applyFont="1" applyBorder="1" applyAlignment="1">
      <alignment horizontal="center"/>
    </xf>
    <xf numFmtId="169" fontId="0" fillId="0" borderId="82" xfId="0" applyBorder="1" applyAlignment="1">
      <alignment vertical="top" wrapText="1"/>
    </xf>
    <xf numFmtId="169" fontId="6" fillId="0" borderId="82" xfId="0" applyFont="1" applyFill="1" applyBorder="1"/>
    <xf numFmtId="169" fontId="6" fillId="0" borderId="124" xfId="0" applyFont="1" applyBorder="1"/>
    <xf numFmtId="3" fontId="60"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69" fontId="0" fillId="0" borderId="18" xfId="0" applyFill="1" applyBorder="1"/>
    <xf numFmtId="3" fontId="59" fillId="18" borderId="177" xfId="0" applyNumberFormat="1" applyFont="1" applyFill="1" applyBorder="1" applyAlignment="1">
      <alignment horizontal="center" vertical="center"/>
    </xf>
    <xf numFmtId="169" fontId="23" fillId="0" borderId="8" xfId="0" applyFont="1" applyBorder="1" applyAlignment="1">
      <alignment horizontal="left"/>
    </xf>
    <xf numFmtId="3" fontId="23"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69" fontId="0" fillId="0" borderId="0" xfId="0" applyAlignment="1">
      <alignment horizontal="left" vertical="top" wrapText="1"/>
    </xf>
    <xf numFmtId="0" fontId="23" fillId="0" borderId="123" xfId="0" applyNumberFormat="1" applyFont="1" applyBorder="1" applyAlignment="1">
      <alignment vertical="top" wrapText="1"/>
    </xf>
    <xf numFmtId="0" fontId="0" fillId="0" borderId="12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59" xfId="0" applyNumberFormat="1" applyFill="1" applyBorder="1"/>
    <xf numFmtId="2" fontId="0" fillId="0" borderId="160"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4"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4" applyNumberFormat="1" applyFont="1" applyFill="1" applyBorder="1"/>
    <xf numFmtId="2" fontId="5" fillId="3" borderId="12" xfId="0" applyNumberFormat="1" applyFont="1" applyFill="1" applyBorder="1"/>
    <xf numFmtId="2" fontId="23" fillId="3" borderId="11" xfId="0" applyNumberFormat="1" applyFont="1" applyFill="1" applyBorder="1"/>
    <xf numFmtId="169" fontId="23" fillId="0" borderId="0" xfId="0" applyFont="1" applyFill="1" applyBorder="1" applyAlignment="1">
      <alignment horizontal="left" vertical="top" wrapText="1"/>
    </xf>
    <xf numFmtId="169" fontId="6" fillId="0" borderId="27" xfId="0" applyFont="1" applyBorder="1"/>
    <xf numFmtId="0" fontId="44" fillId="23" borderId="133" xfId="3" applyNumberFormat="1" applyFont="1" applyFill="1" applyBorder="1"/>
    <xf numFmtId="0" fontId="44" fillId="23" borderId="141" xfId="3" applyNumberFormat="1" applyFont="1" applyFill="1" applyBorder="1"/>
    <xf numFmtId="0" fontId="0" fillId="0" borderId="0" xfId="0" applyNumberFormat="1"/>
    <xf numFmtId="0" fontId="83" fillId="0" borderId="0" xfId="2" applyNumberFormat="1" applyFont="1" applyBorder="1"/>
    <xf numFmtId="0" fontId="84" fillId="0" borderId="0" xfId="1" applyNumberFormat="1" applyFont="1" applyBorder="1"/>
    <xf numFmtId="0" fontId="89" fillId="23" borderId="104" xfId="2" applyNumberFormat="1" applyFont="1" applyFill="1" applyBorder="1"/>
    <xf numFmtId="0" fontId="23" fillId="23" borderId="53" xfId="0" applyNumberFormat="1" applyFont="1" applyFill="1" applyBorder="1"/>
    <xf numFmtId="0" fontId="23" fillId="23" borderId="189" xfId="0" applyNumberFormat="1" applyFont="1" applyFill="1" applyBorder="1"/>
    <xf numFmtId="0" fontId="44" fillId="23" borderId="132" xfId="3" applyNumberFormat="1" applyFont="1" applyFill="1" applyBorder="1"/>
    <xf numFmtId="0" fontId="44" fillId="23" borderId="133" xfId="3" applyNumberFormat="1" applyFont="1" applyFill="1" applyBorder="1" applyAlignment="1">
      <alignment horizontal="left"/>
    </xf>
    <xf numFmtId="0" fontId="23" fillId="0" borderId="121" xfId="4" applyNumberFormat="1" applyFont="1" applyBorder="1"/>
    <xf numFmtId="0" fontId="0" fillId="0" borderId="121" xfId="0" applyNumberFormat="1" applyBorder="1"/>
    <xf numFmtId="0" fontId="79" fillId="0" borderId="0" xfId="0" applyNumberFormat="1" applyFont="1"/>
    <xf numFmtId="0" fontId="23" fillId="23" borderId="103" xfId="0" applyNumberFormat="1" applyFont="1" applyFill="1" applyBorder="1"/>
    <xf numFmtId="0" fontId="44" fillId="23" borderId="134" xfId="3" applyNumberFormat="1" applyFont="1" applyFill="1" applyBorder="1"/>
    <xf numFmtId="0" fontId="44" fillId="23" borderId="135" xfId="3" applyNumberFormat="1" applyFont="1" applyFill="1" applyBorder="1"/>
    <xf numFmtId="0" fontId="44" fillId="23" borderId="136" xfId="3" applyNumberFormat="1" applyFont="1" applyFill="1" applyBorder="1"/>
    <xf numFmtId="0" fontId="23" fillId="0" borderId="0" xfId="4" applyNumberFormat="1" applyFont="1"/>
    <xf numFmtId="0" fontId="44" fillId="23" borderId="137" xfId="4" applyNumberFormat="1" applyFont="1" applyFill="1" applyBorder="1"/>
    <xf numFmtId="0" fontId="44" fillId="23" borderId="127" xfId="4" applyNumberFormat="1" applyFont="1" applyFill="1" applyBorder="1"/>
    <xf numFmtId="0" fontId="44" fillId="23" borderId="138" xfId="4" applyNumberFormat="1" applyFont="1" applyFill="1" applyBorder="1"/>
    <xf numFmtId="0" fontId="44" fillId="23" borderId="134" xfId="4" applyNumberFormat="1" applyFont="1" applyFill="1" applyBorder="1"/>
    <xf numFmtId="0" fontId="44" fillId="23" borderId="135" xfId="4" applyNumberFormat="1" applyFont="1" applyFill="1" applyBorder="1"/>
    <xf numFmtId="0" fontId="44" fillId="23" borderId="136" xfId="4" applyNumberFormat="1" applyFont="1" applyFill="1" applyBorder="1"/>
    <xf numFmtId="0" fontId="23" fillId="0" borderId="0" xfId="4" applyNumberFormat="1" applyFont="1" applyBorder="1"/>
    <xf numFmtId="0" fontId="0" fillId="0" borderId="0" xfId="0" applyNumberFormat="1" applyBorder="1"/>
    <xf numFmtId="0" fontId="89" fillId="23" borderId="21" xfId="2" applyNumberFormat="1" applyFont="1" applyFill="1" applyBorder="1"/>
    <xf numFmtId="0" fontId="23" fillId="23" borderId="0" xfId="0" applyNumberFormat="1" applyFont="1" applyFill="1" applyBorder="1"/>
    <xf numFmtId="0" fontId="44" fillId="23" borderId="0" xfId="0" applyNumberFormat="1" applyFont="1" applyFill="1" applyBorder="1"/>
    <xf numFmtId="0" fontId="23" fillId="23" borderId="82" xfId="0" applyNumberFormat="1" applyFont="1" applyFill="1" applyBorder="1"/>
    <xf numFmtId="0" fontId="44" fillId="23" borderId="135" xfId="3" applyNumberFormat="1" applyFont="1" applyFill="1" applyBorder="1" applyAlignment="1">
      <alignment horizontal="left"/>
    </xf>
    <xf numFmtId="0" fontId="80" fillId="0" borderId="0" xfId="4" applyNumberFormat="1" applyFont="1"/>
    <xf numFmtId="0" fontId="23" fillId="23" borderId="53" xfId="4" applyNumberFormat="1" applyFont="1" applyFill="1" applyBorder="1"/>
    <xf numFmtId="0" fontId="3" fillId="0" borderId="0" xfId="4" applyNumberFormat="1"/>
    <xf numFmtId="0" fontId="23" fillId="23" borderId="139" xfId="0" applyNumberFormat="1" applyFont="1" applyFill="1" applyBorder="1"/>
    <xf numFmtId="0" fontId="44" fillId="23" borderId="126" xfId="0" applyNumberFormat="1" applyFont="1" applyFill="1" applyBorder="1"/>
    <xf numFmtId="0" fontId="44" fillId="23" borderId="140" xfId="0" applyNumberFormat="1" applyFont="1" applyFill="1" applyBorder="1"/>
    <xf numFmtId="0" fontId="5" fillId="26" borderId="0" xfId="0" applyNumberFormat="1" applyFont="1" applyFill="1"/>
    <xf numFmtId="0" fontId="5" fillId="4" borderId="0" xfId="0" applyNumberFormat="1" applyFont="1" applyFill="1"/>
    <xf numFmtId="0" fontId="0" fillId="25" borderId="0" xfId="0" applyNumberFormat="1" applyFill="1"/>
    <xf numFmtId="0" fontId="0" fillId="25" borderId="0" xfId="0" quotePrefix="1" applyNumberFormat="1" applyFill="1"/>
    <xf numFmtId="0" fontId="0" fillId="26" borderId="0" xfId="0" applyNumberFormat="1" applyFill="1"/>
    <xf numFmtId="0" fontId="0" fillId="4" borderId="0" xfId="0" applyNumberFormat="1" applyFill="1"/>
    <xf numFmtId="0" fontId="71" fillId="4" borderId="0" xfId="151" applyNumberFormat="1" applyFill="1" applyAlignment="1" applyProtection="1"/>
    <xf numFmtId="0" fontId="23" fillId="25" borderId="0" xfId="0" applyNumberFormat="1" applyFont="1" applyFill="1"/>
    <xf numFmtId="0" fontId="0" fillId="25" borderId="0" xfId="0" quotePrefix="1" applyNumberFormat="1" applyFill="1" applyAlignment="1">
      <alignment horizontal="left"/>
    </xf>
    <xf numFmtId="0" fontId="23" fillId="26" borderId="0" xfId="0" applyNumberFormat="1" applyFont="1" applyFill="1"/>
    <xf numFmtId="0" fontId="92" fillId="4" borderId="0" xfId="151" applyNumberFormat="1" applyFont="1" applyFill="1" applyAlignment="1" applyProtection="1"/>
    <xf numFmtId="0" fontId="71" fillId="26" borderId="0" xfId="151" applyNumberFormat="1" applyFill="1" applyAlignment="1" applyProtection="1"/>
    <xf numFmtId="0" fontId="23" fillId="25" borderId="0" xfId="0" quotePrefix="1" applyNumberFormat="1" applyFont="1" applyFill="1"/>
    <xf numFmtId="0" fontId="0" fillId="25" borderId="0" xfId="0" applyNumberFormat="1" applyFill="1" applyAlignment="1"/>
    <xf numFmtId="0" fontId="6" fillId="25" borderId="0" xfId="0" applyNumberFormat="1" applyFont="1" applyFill="1"/>
    <xf numFmtId="0" fontId="6" fillId="26"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44" fillId="24" borderId="19" xfId="0" applyNumberFormat="1" applyFont="1" applyFill="1" applyBorder="1"/>
    <xf numFmtId="0" fontId="44" fillId="24" borderId="88" xfId="0" applyNumberFormat="1" applyFont="1" applyFill="1" applyBorder="1"/>
    <xf numFmtId="0" fontId="44" fillId="24" borderId="16" xfId="0" applyNumberFormat="1" applyFont="1" applyFill="1" applyBorder="1"/>
    <xf numFmtId="0" fontId="10" fillId="0" borderId="0" xfId="6" quotePrefix="1" applyNumberFormat="1" applyFont="1" applyFill="1" applyBorder="1" applyAlignment="1">
      <alignment horizontal="center"/>
    </xf>
    <xf numFmtId="0" fontId="10" fillId="0" borderId="0" xfId="6" applyNumberFormat="1" applyFont="1" applyFill="1" applyBorder="1" applyAlignment="1">
      <alignment horizontal="center"/>
    </xf>
    <xf numFmtId="0" fontId="11" fillId="0" borderId="0" xfId="6" applyNumberFormat="1" applyFont="1" applyFill="1" applyBorder="1" applyAlignment="1">
      <alignment horizontal="center"/>
    </xf>
    <xf numFmtId="0" fontId="12" fillId="0" borderId="0" xfId="6" applyNumberFormat="1" applyFont="1" applyFill="1" applyBorder="1"/>
    <xf numFmtId="0" fontId="23" fillId="0" borderId="21" xfId="0" applyNumberFormat="1" applyFont="1" applyFill="1" applyBorder="1" applyAlignment="1">
      <alignment horizontal="left" vertical="top"/>
    </xf>
    <xf numFmtId="0" fontId="0" fillId="0" borderId="0" xfId="0" applyNumberFormat="1" applyBorder="1" applyAlignment="1"/>
    <xf numFmtId="0" fontId="0" fillId="0" borderId="161" xfId="0" applyNumberFormat="1" applyFont="1" applyFill="1" applyBorder="1"/>
    <xf numFmtId="0" fontId="0" fillId="0" borderId="162" xfId="0" applyNumberFormat="1" applyFont="1" applyFill="1" applyBorder="1"/>
    <xf numFmtId="0" fontId="0" fillId="0" borderId="21" xfId="0" applyNumberFormat="1" applyFont="1" applyFill="1" applyBorder="1"/>
    <xf numFmtId="0" fontId="0" fillId="0" borderId="0" xfId="0" applyNumberFormat="1" applyFont="1" applyFill="1" applyBorder="1"/>
    <xf numFmtId="0" fontId="6" fillId="23" borderId="148" xfId="0" applyNumberFormat="1" applyFont="1" applyFill="1" applyBorder="1"/>
    <xf numFmtId="0" fontId="0" fillId="0" borderId="21" xfId="0" applyNumberFormat="1" applyBorder="1"/>
    <xf numFmtId="0" fontId="6" fillId="13" borderId="21" xfId="0" applyNumberFormat="1" applyFont="1" applyFill="1" applyBorder="1"/>
    <xf numFmtId="0" fontId="0" fillId="0" borderId="105" xfId="0" applyNumberFormat="1" applyBorder="1"/>
    <xf numFmtId="0" fontId="6" fillId="23" borderId="104" xfId="0" applyNumberFormat="1" applyFont="1" applyFill="1" applyBorder="1"/>
    <xf numFmtId="0" fontId="44" fillId="23" borderId="19" xfId="0" applyNumberFormat="1" applyFont="1" applyFill="1" applyBorder="1"/>
    <xf numFmtId="0" fontId="37" fillId="23" borderId="88"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2"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2"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2" xfId="0" applyNumberFormat="1" applyFont="1" applyFill="1" applyBorder="1" applyAlignment="1">
      <alignment horizontal="left" vertical="top" wrapText="1"/>
    </xf>
    <xf numFmtId="0" fontId="71" fillId="0" borderId="122" xfId="151" applyNumberFormat="1" applyBorder="1" applyAlignment="1" applyProtection="1"/>
    <xf numFmtId="0" fontId="0" fillId="0" borderId="120" xfId="0" applyNumberFormat="1" applyBorder="1"/>
    <xf numFmtId="0" fontId="0" fillId="0" borderId="123" xfId="0" applyNumberFormat="1" applyBorder="1"/>
    <xf numFmtId="0" fontId="71" fillId="0" borderId="124" xfId="151" applyNumberFormat="1" applyBorder="1" applyAlignment="1" applyProtection="1"/>
    <xf numFmtId="0" fontId="0" fillId="0" borderId="125" xfId="0" applyNumberFormat="1" applyBorder="1"/>
    <xf numFmtId="0" fontId="71" fillId="0" borderId="122" xfId="151" quotePrefix="1" applyNumberFormat="1" applyBorder="1" applyAlignment="1" applyProtection="1"/>
    <xf numFmtId="0" fontId="0" fillId="0" borderId="124" xfId="0" applyNumberFormat="1" applyBorder="1"/>
    <xf numFmtId="0" fontId="23" fillId="0" borderId="0" xfId="0" applyNumberFormat="1" applyFont="1" applyBorder="1"/>
    <xf numFmtId="0" fontId="23" fillId="0" borderId="82"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4" xfId="0" applyNumberFormat="1" applyFont="1" applyFill="1" applyBorder="1" applyAlignment="1">
      <alignment horizontal="left" vertical="center" wrapText="1"/>
    </xf>
    <xf numFmtId="0" fontId="78" fillId="0" borderId="53" xfId="0" applyNumberFormat="1" applyFont="1" applyFill="1" applyBorder="1" applyAlignment="1">
      <alignment horizontal="left" vertical="center" wrapText="1"/>
    </xf>
    <xf numFmtId="0" fontId="78" fillId="0" borderId="103"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2"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4" xfId="0" applyNumberFormat="1" applyFont="1" applyFill="1" applyBorder="1" applyAlignment="1">
      <alignment horizontal="left" vertical="center"/>
    </xf>
    <xf numFmtId="0" fontId="81" fillId="12" borderId="53" xfId="0" applyNumberFormat="1" applyFont="1" applyFill="1" applyBorder="1" applyAlignment="1">
      <alignment horizontal="left" vertical="center"/>
    </xf>
    <xf numFmtId="0" fontId="81" fillId="12" borderId="103" xfId="0" applyNumberFormat="1" applyFont="1" applyFill="1" applyBorder="1" applyAlignment="1">
      <alignment horizontal="left" vertical="center" wrapText="1"/>
    </xf>
    <xf numFmtId="0" fontId="23" fillId="15" borderId="122" xfId="0" applyNumberFormat="1" applyFont="1" applyFill="1" applyBorder="1" applyAlignment="1">
      <alignment horizontal="justify" vertical="top" wrapText="1"/>
    </xf>
    <xf numFmtId="0" fontId="23" fillId="0" borderId="120" xfId="0" applyNumberFormat="1" applyFont="1" applyFill="1" applyBorder="1" applyAlignment="1">
      <alignment horizontal="justify" vertical="top" wrapText="1"/>
    </xf>
    <xf numFmtId="0" fontId="23" fillId="0" borderId="12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2"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23" fillId="0" borderId="62" xfId="0" applyNumberFormat="1" applyFont="1" applyFill="1" applyBorder="1" applyAlignment="1">
      <alignment horizontal="justify" vertical="top" wrapText="1"/>
    </xf>
    <xf numFmtId="0" fontId="23" fillId="0" borderId="18" xfId="0" applyNumberFormat="1" applyFont="1" applyFill="1" applyBorder="1" applyAlignment="1">
      <alignment horizontal="justify" vertical="top" wrapText="1"/>
    </xf>
    <xf numFmtId="0" fontId="75" fillId="12" borderId="19" xfId="0" applyNumberFormat="1" applyFont="1" applyFill="1" applyBorder="1" applyAlignment="1">
      <alignment horizontal="left" vertical="center" wrapText="1"/>
    </xf>
    <xf numFmtId="0" fontId="9" fillId="23" borderId="88"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8"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2"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22" xfId="151" applyNumberFormat="1" applyBorder="1" applyAlignment="1" applyProtection="1">
      <alignment vertical="top"/>
    </xf>
    <xf numFmtId="0" fontId="0" fillId="0" borderId="120" xfId="0" applyNumberFormat="1" applyBorder="1" applyAlignment="1">
      <alignment vertical="top" wrapText="1"/>
    </xf>
    <xf numFmtId="0" fontId="0" fillId="0" borderId="123" xfId="0" applyNumberFormat="1" applyBorder="1" applyAlignment="1">
      <alignment vertical="top"/>
    </xf>
    <xf numFmtId="0" fontId="71" fillId="0" borderId="21" xfId="151" applyNumberFormat="1" applyBorder="1" applyAlignment="1" applyProtection="1">
      <alignment vertical="top"/>
    </xf>
    <xf numFmtId="0" fontId="0" fillId="0" borderId="0" xfId="0" applyNumberFormat="1" applyBorder="1" applyAlignment="1">
      <alignment vertical="top" wrapText="1"/>
    </xf>
    <xf numFmtId="0" fontId="0" fillId="0" borderId="82" xfId="0" applyNumberFormat="1" applyBorder="1" applyAlignment="1">
      <alignment vertical="top"/>
    </xf>
    <xf numFmtId="174" fontId="0" fillId="0" borderId="144" xfId="0" applyNumberFormat="1" applyFont="1" applyFill="1" applyBorder="1"/>
    <xf numFmtId="174" fontId="0" fillId="0" borderId="82" xfId="0" applyNumberFormat="1" applyFont="1" applyFill="1" applyBorder="1"/>
    <xf numFmtId="175" fontId="0" fillId="0" borderId="0" xfId="0" applyNumberFormat="1"/>
    <xf numFmtId="10" fontId="0" fillId="0" borderId="0" xfId="54" applyNumberFormat="1" applyFont="1"/>
    <xf numFmtId="169" fontId="48" fillId="0" borderId="0" xfId="0" applyFont="1"/>
    <xf numFmtId="10" fontId="0" fillId="3" borderId="0" xfId="54" applyNumberFormat="1" applyFont="1" applyFill="1"/>
    <xf numFmtId="169" fontId="9" fillId="4" borderId="168"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4" applyNumberFormat="1" applyFont="1" applyFill="1" applyBorder="1"/>
    <xf numFmtId="176" fontId="23" fillId="3" borderId="0" xfId="55" applyNumberFormat="1" applyFont="1" applyFill="1" applyBorder="1"/>
    <xf numFmtId="176" fontId="23" fillId="3" borderId="12" xfId="0" applyNumberFormat="1" applyFont="1" applyFill="1" applyBorder="1"/>
    <xf numFmtId="176" fontId="23" fillId="3" borderId="12" xfId="4"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0" fontId="0" fillId="0" borderId="105" xfId="0" applyNumberFormat="1" applyFont="1" applyFill="1" applyBorder="1" applyAlignment="1">
      <alignment vertical="top"/>
    </xf>
    <xf numFmtId="169" fontId="0" fillId="0" borderId="191" xfId="0" applyBorder="1"/>
    <xf numFmtId="169" fontId="0" fillId="0" borderId="191" xfId="0" applyBorder="1" applyAlignment="1">
      <alignment horizontal="justify" wrapText="1"/>
    </xf>
    <xf numFmtId="169" fontId="0" fillId="0" borderId="190" xfId="0" applyBorder="1"/>
    <xf numFmtId="169" fontId="71" fillId="0" borderId="0" xfId="151" applyBorder="1" applyAlignment="1" applyProtection="1"/>
    <xf numFmtId="169" fontId="74" fillId="23" borderId="16" xfId="0" applyFont="1" applyFill="1" applyBorder="1" applyAlignment="1">
      <alignment vertical="center"/>
    </xf>
    <xf numFmtId="169" fontId="0" fillId="0" borderId="123" xfId="0" applyBorder="1" applyAlignment="1">
      <alignment horizontal="left" vertical="top" wrapText="1"/>
    </xf>
    <xf numFmtId="166"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23" fillId="3" borderId="8" xfId="55" applyNumberFormat="1" applyFont="1" applyFill="1" applyBorder="1"/>
    <xf numFmtId="176" fontId="0" fillId="3" borderId="28" xfId="0" quotePrefix="1" applyNumberFormat="1" applyFill="1" applyBorder="1" applyAlignment="1">
      <alignment horizontal="right"/>
    </xf>
    <xf numFmtId="169" fontId="0" fillId="0" borderId="21" xfId="0" applyBorder="1" applyAlignment="1">
      <alignment horizontal="left"/>
    </xf>
    <xf numFmtId="169" fontId="0" fillId="0" borderId="21" xfId="0" applyBorder="1" applyAlignment="1"/>
    <xf numFmtId="0" fontId="0" fillId="0" borderId="120" xfId="0" applyNumberFormat="1" applyBorder="1" applyAlignment="1">
      <alignment wrapText="1"/>
    </xf>
    <xf numFmtId="3" fontId="57" fillId="12" borderId="37" xfId="0" applyNumberFormat="1" applyFont="1" applyFill="1" applyBorder="1" applyAlignment="1">
      <alignment horizontal="center" vertical="center" wrapText="1"/>
    </xf>
    <xf numFmtId="3" fontId="57" fillId="12" borderId="38" xfId="0" applyNumberFormat="1" applyFont="1" applyFill="1" applyBorder="1" applyAlignment="1">
      <alignment horizontal="center" vertical="center" wrapText="1"/>
    </xf>
    <xf numFmtId="0" fontId="71" fillId="0" borderId="0" xfId="151"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8" fillId="18" borderId="110" xfId="0" applyNumberFormat="1" applyFont="1" applyFill="1" applyBorder="1" applyAlignment="1"/>
    <xf numFmtId="3" fontId="55"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0" fillId="0" borderId="4" xfId="0" applyNumberFormat="1" applyBorder="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3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45" xfId="0" applyNumberFormat="1" applyFont="1" applyFill="1" applyBorder="1"/>
    <xf numFmtId="3" fontId="0" fillId="0" borderId="121" xfId="0" applyNumberFormat="1" applyFont="1" applyFill="1" applyBorder="1"/>
    <xf numFmtId="3" fontId="6" fillId="0" borderId="121" xfId="0" applyNumberFormat="1" applyFont="1" applyFill="1" applyBorder="1" applyAlignment="1">
      <alignment horizontal="left"/>
    </xf>
    <xf numFmtId="3" fontId="0" fillId="0" borderId="146" xfId="0" applyNumberFormat="1" applyFont="1" applyFill="1" applyBorder="1"/>
    <xf numFmtId="3" fontId="16" fillId="0" borderId="7" xfId="8" applyNumberFormat="1" applyFont="1" applyFill="1" applyBorder="1" applyAlignment="1">
      <alignment wrapText="1"/>
    </xf>
    <xf numFmtId="3" fontId="0" fillId="0" borderId="0" xfId="0" applyNumberFormat="1" applyBorder="1" applyAlignment="1">
      <alignment horizontal="left"/>
    </xf>
    <xf numFmtId="3" fontId="48" fillId="0" borderId="0" xfId="0" applyNumberFormat="1" applyFont="1" applyBorder="1" applyAlignment="1">
      <alignment horizontal="left"/>
    </xf>
    <xf numFmtId="3" fontId="23" fillId="0" borderId="0" xfId="0" applyNumberFormat="1" applyFont="1" applyBorder="1" applyAlignment="1">
      <alignment horizontal="left"/>
    </xf>
    <xf numFmtId="3" fontId="16" fillId="0" borderId="10" xfId="8"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39" fillId="23" borderId="3" xfId="8" applyNumberFormat="1" applyFont="1" applyFill="1" applyBorder="1" applyAlignment="1">
      <alignment wrapText="1"/>
    </xf>
    <xf numFmtId="3" fontId="39" fillId="0" borderId="145" xfId="8"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3" xfId="0" applyNumberFormat="1" applyFont="1" applyFill="1" applyBorder="1"/>
    <xf numFmtId="3" fontId="6" fillId="0" borderId="121" xfId="0" applyNumberFormat="1" applyFont="1" applyBorder="1"/>
    <xf numFmtId="3" fontId="5" fillId="0" borderId="62" xfId="0" applyNumberFormat="1" applyFont="1" applyBorder="1"/>
    <xf numFmtId="3" fontId="6" fillId="0" borderId="0" xfId="0" applyNumberFormat="1" applyFont="1" applyFill="1" applyBorder="1"/>
    <xf numFmtId="3" fontId="0" fillId="0" borderId="62" xfId="0" applyNumberFormat="1" applyBorder="1"/>
    <xf numFmtId="4" fontId="6" fillId="23" borderId="16" xfId="0" applyNumberFormat="1" applyFont="1" applyFill="1" applyBorder="1"/>
    <xf numFmtId="4" fontId="0" fillId="0" borderId="82" xfId="0" applyNumberFormat="1" applyBorder="1"/>
    <xf numFmtId="4" fontId="44" fillId="0" borderId="82" xfId="0" applyNumberFormat="1" applyFont="1" applyFill="1" applyBorder="1" applyAlignment="1">
      <alignment horizontal="center" vertical="top" wrapText="1"/>
    </xf>
    <xf numFmtId="4" fontId="0" fillId="0" borderId="123" xfId="0" applyNumberFormat="1" applyBorder="1" applyAlignment="1">
      <alignment horizontal="center" vertical="top" wrapText="1"/>
    </xf>
    <xf numFmtId="4" fontId="0" fillId="0" borderId="82" xfId="0" applyNumberFormat="1" applyBorder="1" applyAlignment="1">
      <alignment horizontal="right" vertical="top" wrapText="1"/>
    </xf>
    <xf numFmtId="4" fontId="0" fillId="0" borderId="82"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2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2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8" xfId="0" applyNumberFormat="1" applyFont="1" applyFill="1" applyBorder="1"/>
    <xf numFmtId="0" fontId="6" fillId="23" borderId="16" xfId="0" applyNumberFormat="1" applyFont="1" applyFill="1" applyBorder="1" applyAlignment="1">
      <alignment horizontal="right"/>
    </xf>
    <xf numFmtId="169" fontId="0" fillId="0" borderId="0" xfId="0" applyAlignment="1">
      <alignment horizontal="right"/>
    </xf>
    <xf numFmtId="0" fontId="0" fillId="0" borderId="82" xfId="0" applyNumberFormat="1" applyBorder="1" applyAlignment="1">
      <alignment horizontal="left"/>
    </xf>
    <xf numFmtId="0" fontId="44" fillId="0" borderId="0" xfId="0" applyNumberFormat="1" applyFont="1" applyFill="1" applyBorder="1" applyAlignment="1">
      <alignment horizontal="left" vertical="top"/>
    </xf>
    <xf numFmtId="3" fontId="0" fillId="0" borderId="120" xfId="0" applyNumberFormat="1" applyFill="1" applyBorder="1" applyAlignment="1">
      <alignment horizontal="left"/>
    </xf>
    <xf numFmtId="3" fontId="0" fillId="0" borderId="62" xfId="0" applyNumberFormat="1" applyFill="1" applyBorder="1" applyAlignment="1">
      <alignment horizontal="left"/>
    </xf>
    <xf numFmtId="3" fontId="0" fillId="0" borderId="12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69" fontId="0" fillId="0" borderId="0" xfId="0" applyFill="1" applyBorder="1" applyProtection="1"/>
    <xf numFmtId="0" fontId="37" fillId="12" borderId="75"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0" fontId="37" fillId="12" borderId="17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0" fontId="37" fillId="12" borderId="77" xfId="0" applyNumberFormat="1" applyFont="1" applyFill="1" applyBorder="1" applyAlignment="1" applyProtection="1">
      <alignment horizontal="center" vertical="center" wrapText="1"/>
    </xf>
    <xf numFmtId="169" fontId="39" fillId="0" borderId="79"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2" fontId="41" fillId="21" borderId="57" xfId="0" applyNumberFormat="1" applyFont="1" applyFill="1" applyBorder="1" applyAlignment="1" applyProtection="1">
      <alignment horizontal="right" vertical="center"/>
    </xf>
    <xf numFmtId="169" fontId="37" fillId="19" borderId="79" xfId="0" applyFont="1" applyFill="1" applyBorder="1" applyAlignment="1" applyProtection="1">
      <alignment horizontal="right" vertical="center"/>
    </xf>
    <xf numFmtId="169" fontId="37" fillId="0" borderId="0" xfId="0" applyFont="1" applyFill="1" applyBorder="1" applyAlignment="1" applyProtection="1">
      <alignment horizontal="right" vertical="center"/>
    </xf>
    <xf numFmtId="169" fontId="37" fillId="0" borderId="47" xfId="0" applyFont="1" applyFill="1" applyBorder="1" applyAlignment="1" applyProtection="1">
      <alignment horizontal="center"/>
    </xf>
    <xf numFmtId="169" fontId="37" fillId="19" borderId="47" xfId="0" applyFont="1" applyFill="1" applyBorder="1" applyAlignment="1" applyProtection="1">
      <alignment horizontal="right" vertical="center"/>
    </xf>
    <xf numFmtId="169"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6" xfId="0" applyNumberFormat="1" applyFont="1" applyFill="1" applyBorder="1" applyAlignment="1" applyProtection="1">
      <alignment horizontal="right" vertical="center"/>
    </xf>
    <xf numFmtId="3" fontId="41" fillId="0" borderId="15" xfId="0" applyNumberFormat="1" applyFont="1" applyFill="1" applyBorder="1" applyAlignment="1" applyProtection="1">
      <alignment horizontal="right" vertical="center"/>
    </xf>
    <xf numFmtId="3" fontId="31" fillId="0" borderId="15" xfId="0" applyNumberFormat="1" applyFont="1" applyFill="1" applyBorder="1" applyAlignment="1" applyProtection="1">
      <alignment horizontal="right" vertical="center" wrapText="1"/>
    </xf>
    <xf numFmtId="3" fontId="41" fillId="0" borderId="96"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69" fontId="37" fillId="0" borderId="47" xfId="0" applyFont="1" applyFill="1" applyBorder="1" applyAlignment="1" applyProtection="1">
      <alignment horizontal="center" wrapText="1"/>
    </xf>
    <xf numFmtId="3" fontId="37" fillId="3" borderId="5" xfId="0" applyNumberFormat="1" applyFont="1" applyFill="1" applyBorder="1" applyAlignment="1" applyProtection="1">
      <alignment horizontal="right" vertical="center"/>
    </xf>
    <xf numFmtId="3" fontId="41" fillId="0" borderId="87"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7"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3" fontId="41" fillId="0" borderId="98" xfId="0" applyNumberFormat="1" applyFont="1" applyFill="1" applyBorder="1" applyAlignment="1" applyProtection="1">
      <alignment horizontal="right" vertical="center"/>
    </xf>
    <xf numFmtId="169" fontId="0" fillId="0" borderId="68" xfId="0" applyFill="1" applyBorder="1" applyProtection="1"/>
    <xf numFmtId="169"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6"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69" fontId="41" fillId="0" borderId="29" xfId="0" applyFont="1" applyFill="1" applyBorder="1" applyAlignment="1" applyProtection="1">
      <alignment horizontal="right" vertical="center"/>
    </xf>
    <xf numFmtId="169" fontId="41" fillId="0" borderId="0" xfId="0" applyFont="1" applyFill="1" applyBorder="1" applyAlignment="1" applyProtection="1">
      <alignment horizontal="right" vertical="center"/>
    </xf>
    <xf numFmtId="169" fontId="6" fillId="0" borderId="0" xfId="0" applyFont="1" applyProtection="1"/>
    <xf numFmtId="173" fontId="0" fillId="0" borderId="0" xfId="0" applyNumberFormat="1" applyAlignment="1" applyProtection="1">
      <alignment horizontal="center"/>
    </xf>
    <xf numFmtId="169" fontId="0" fillId="0" borderId="0" xfId="0" applyFill="1" applyProtection="1"/>
    <xf numFmtId="169" fontId="6" fillId="17" borderId="15" xfId="0" applyFont="1" applyFill="1" applyBorder="1" applyProtection="1"/>
    <xf numFmtId="173" fontId="0" fillId="17" borderId="15" xfId="0" applyNumberFormat="1" applyFill="1" applyBorder="1" applyAlignment="1" applyProtection="1">
      <alignment horizontal="center"/>
    </xf>
    <xf numFmtId="173" fontId="0" fillId="0" borderId="0" xfId="0" applyNumberFormat="1" applyFill="1" applyBorder="1" applyAlignment="1" applyProtection="1">
      <alignment horizontal="center"/>
    </xf>
    <xf numFmtId="169"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38" xfId="0" applyNumberFormat="1" applyFont="1" applyFill="1" applyBorder="1" applyAlignment="1" applyProtection="1">
      <alignment horizontal="center" vertical="center" wrapText="1"/>
    </xf>
    <xf numFmtId="0" fontId="37" fillId="12" borderId="89" xfId="0" applyNumberFormat="1" applyFont="1" applyFill="1" applyBorder="1" applyAlignment="1" applyProtection="1">
      <alignment horizontal="center" vertical="center" wrapText="1"/>
    </xf>
    <xf numFmtId="169" fontId="39" fillId="0" borderId="79" xfId="0" applyFont="1" applyBorder="1" applyAlignment="1" applyProtection="1">
      <alignment horizontal="center" vertical="center"/>
    </xf>
    <xf numFmtId="3" fontId="37" fillId="3" borderId="79"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1" fillId="0" borderId="100" xfId="0" applyNumberFormat="1" applyFont="1" applyFill="1" applyBorder="1" applyAlignment="1" applyProtection="1">
      <alignment horizontal="right" vertical="center"/>
    </xf>
    <xf numFmtId="3" fontId="41" fillId="0" borderId="90" xfId="0" applyNumberFormat="1" applyFont="1" applyFill="1" applyBorder="1" applyAlignment="1" applyProtection="1">
      <alignment horizontal="right" vertical="center"/>
    </xf>
    <xf numFmtId="3" fontId="37" fillId="19" borderId="79" xfId="0" applyNumberFormat="1" applyFont="1" applyFill="1" applyBorder="1" applyAlignment="1" applyProtection="1">
      <alignment horizontal="right" vertical="center"/>
    </xf>
    <xf numFmtId="169" fontId="37" fillId="0" borderId="0" xfId="0" applyFont="1" applyFill="1" applyBorder="1" applyAlignment="1" applyProtection="1">
      <alignment horizontal="center" vertical="center"/>
    </xf>
    <xf numFmtId="169"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8" xfId="0" applyNumberFormat="1" applyFont="1" applyFill="1" applyBorder="1" applyAlignment="1" applyProtection="1">
      <alignment horizontal="right" vertical="center"/>
    </xf>
    <xf numFmtId="169" fontId="0" fillId="0" borderId="0" xfId="0" applyFill="1" applyBorder="1" applyAlignment="1" applyProtection="1">
      <alignment horizontal="center" wrapText="1"/>
    </xf>
    <xf numFmtId="169" fontId="0" fillId="0" borderId="0" xfId="0" applyFill="1" applyBorder="1" applyAlignment="1" applyProtection="1">
      <alignment horizontal="center"/>
    </xf>
    <xf numFmtId="169" fontId="6" fillId="0" borderId="104" xfId="0" applyFont="1" applyFill="1" applyBorder="1" applyProtection="1"/>
    <xf numFmtId="169" fontId="45" fillId="0" borderId="21" xfId="0" applyFont="1" applyFill="1" applyBorder="1" applyProtection="1"/>
    <xf numFmtId="169" fontId="45" fillId="0" borderId="0" xfId="0" applyFont="1" applyFill="1" applyBorder="1" applyProtection="1"/>
    <xf numFmtId="169" fontId="45" fillId="0" borderId="21" xfId="0" applyFont="1" applyBorder="1" applyProtection="1"/>
    <xf numFmtId="169"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2" xfId="0" applyNumberFormat="1" applyFont="1" applyFill="1" applyBorder="1" applyProtection="1"/>
    <xf numFmtId="169" fontId="6" fillId="3" borderId="105" xfId="0" applyFont="1" applyFill="1" applyBorder="1" applyProtection="1"/>
    <xf numFmtId="3" fontId="6" fillId="3" borderId="62" xfId="0" applyNumberFormat="1" applyFont="1" applyFill="1" applyBorder="1" applyAlignment="1" applyProtection="1">
      <alignment wrapText="1"/>
    </xf>
    <xf numFmtId="3" fontId="6" fillId="3" borderId="62" xfId="0" applyNumberFormat="1" applyFont="1" applyFill="1" applyBorder="1" applyAlignment="1" applyProtection="1">
      <alignment horizontal="center" wrapText="1"/>
    </xf>
    <xf numFmtId="3" fontId="6" fillId="3" borderId="62" xfId="0" applyNumberFormat="1" applyFont="1" applyFill="1" applyBorder="1" applyProtection="1"/>
    <xf numFmtId="3" fontId="6" fillId="3" borderId="18" xfId="0" applyNumberFormat="1" applyFont="1" applyFill="1" applyBorder="1" applyProtection="1"/>
    <xf numFmtId="169" fontId="6" fillId="0" borderId="0" xfId="0" applyFont="1" applyBorder="1" applyProtection="1"/>
    <xf numFmtId="169" fontId="6" fillId="0" borderId="0" xfId="0" applyFont="1" applyBorder="1" applyAlignment="1" applyProtection="1">
      <alignment wrapText="1"/>
    </xf>
    <xf numFmtId="169" fontId="6" fillId="0" borderId="104" xfId="0" applyFont="1" applyBorder="1" applyProtection="1"/>
    <xf numFmtId="169" fontId="45" fillId="0" borderId="0" xfId="0" applyFont="1" applyBorder="1" applyProtection="1"/>
    <xf numFmtId="169" fontId="0" fillId="0" borderId="0" xfId="0" applyBorder="1" applyProtection="1"/>
    <xf numFmtId="169" fontId="44" fillId="0" borderId="104" xfId="0" applyFont="1" applyBorder="1" applyProtection="1"/>
    <xf numFmtId="169" fontId="0" fillId="0" borderId="53" xfId="0" applyBorder="1" applyAlignment="1" applyProtection="1">
      <alignment wrapText="1"/>
    </xf>
    <xf numFmtId="169" fontId="0" fillId="0" borderId="103" xfId="0" applyBorder="1" applyAlignment="1" applyProtection="1">
      <alignment wrapText="1"/>
    </xf>
    <xf numFmtId="169" fontId="0" fillId="0" borderId="0" xfId="0" applyBorder="1" applyAlignment="1" applyProtection="1">
      <alignment wrapText="1"/>
    </xf>
    <xf numFmtId="169" fontId="0" fillId="0" borderId="0" xfId="0" applyAlignment="1" applyProtection="1">
      <alignment wrapText="1"/>
    </xf>
    <xf numFmtId="169" fontId="0" fillId="0" borderId="0" xfId="0" applyProtection="1"/>
    <xf numFmtId="169" fontId="6" fillId="0" borderId="21" xfId="0" applyFont="1" applyBorder="1" applyProtection="1"/>
    <xf numFmtId="169" fontId="6" fillId="0" borderId="82" xfId="0" applyFont="1" applyBorder="1" applyAlignment="1" applyProtection="1">
      <alignment wrapText="1"/>
    </xf>
    <xf numFmtId="169" fontId="6" fillId="0" borderId="21" xfId="0" applyFont="1" applyFill="1" applyBorder="1" applyProtection="1"/>
    <xf numFmtId="169" fontId="6" fillId="0" borderId="0" xfId="0" applyFont="1" applyFill="1" applyBorder="1" applyAlignment="1" applyProtection="1">
      <alignment horizontal="center" wrapText="1"/>
    </xf>
    <xf numFmtId="169" fontId="6" fillId="0" borderId="82"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69" fontId="0" fillId="0" borderId="82" xfId="0" applyFill="1" applyBorder="1" applyAlignment="1" applyProtection="1">
      <alignment horizontal="center" wrapText="1"/>
    </xf>
    <xf numFmtId="166" fontId="0" fillId="0" borderId="0" xfId="0" applyNumberFormat="1" applyFill="1" applyAlignment="1" applyProtection="1">
      <alignment horizontal="center" wrapText="1"/>
    </xf>
    <xf numFmtId="169" fontId="6" fillId="0" borderId="0" xfId="0" applyFont="1" applyFill="1" applyBorder="1" applyAlignment="1" applyProtection="1">
      <alignment wrapText="1"/>
    </xf>
    <xf numFmtId="169" fontId="6" fillId="0" borderId="82" xfId="0" applyFont="1" applyFill="1" applyBorder="1" applyAlignment="1" applyProtection="1">
      <alignment wrapText="1"/>
    </xf>
    <xf numFmtId="169" fontId="0" fillId="0" borderId="0" xfId="0" applyFill="1" applyAlignment="1" applyProtection="1">
      <alignment wrapText="1"/>
    </xf>
    <xf numFmtId="169" fontId="0" fillId="0" borderId="21" xfId="0" applyBorder="1" applyProtection="1"/>
    <xf numFmtId="3" fontId="38" fillId="22" borderId="0" xfId="0" applyNumberFormat="1" applyFont="1" applyFill="1" applyBorder="1" applyAlignment="1" applyProtection="1">
      <alignment vertical="top" wrapText="1"/>
    </xf>
    <xf numFmtId="3" fontId="38" fillId="22" borderId="82"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2" xfId="0" applyNumberFormat="1" applyFill="1" applyBorder="1" applyAlignment="1" applyProtection="1">
      <alignment horizontal="center" wrapText="1"/>
    </xf>
    <xf numFmtId="169" fontId="6" fillId="0" borderId="105" xfId="0" applyFont="1" applyFill="1" applyBorder="1" applyProtection="1"/>
    <xf numFmtId="3" fontId="0" fillId="16" borderId="62"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69" fontId="38" fillId="22" borderId="53" xfId="0" applyFont="1" applyFill="1" applyBorder="1" applyAlignment="1" applyProtection="1">
      <alignment vertical="top" wrapText="1"/>
      <protection locked="0"/>
    </xf>
    <xf numFmtId="3" fontId="38" fillId="22" borderId="53" xfId="0" applyNumberFormat="1" applyFont="1" applyFill="1" applyBorder="1" applyAlignment="1" applyProtection="1">
      <alignment vertical="top" wrapText="1"/>
      <protection locked="0"/>
    </xf>
    <xf numFmtId="169" fontId="38" fillId="22" borderId="103"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2"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2" xfId="0" applyNumberFormat="1" applyFont="1" applyFill="1" applyBorder="1" applyAlignment="1" applyProtection="1">
      <alignment horizontal="center" wrapText="1"/>
      <protection locked="0"/>
    </xf>
    <xf numFmtId="2" fontId="16" fillId="0" borderId="0" xfId="8" applyNumberFormat="1" applyFont="1" applyFill="1" applyBorder="1" applyAlignment="1">
      <alignment wrapText="1"/>
    </xf>
    <xf numFmtId="2" fontId="6" fillId="23" borderId="19" xfId="0" applyNumberFormat="1" applyFont="1" applyFill="1" applyBorder="1"/>
    <xf numFmtId="2" fontId="6" fillId="23" borderId="88" xfId="0" applyNumberFormat="1" applyFont="1" applyFill="1" applyBorder="1"/>
    <xf numFmtId="2" fontId="6" fillId="23" borderId="16" xfId="0" applyNumberFormat="1" applyFont="1" applyFill="1" applyBorder="1"/>
    <xf numFmtId="2" fontId="0" fillId="0" borderId="0" xfId="0" applyNumberFormat="1"/>
    <xf numFmtId="0" fontId="23" fillId="0" borderId="124" xfId="0" applyNumberFormat="1" applyFont="1" applyFill="1" applyBorder="1" applyAlignment="1">
      <alignment horizontal="justify" vertical="top"/>
    </xf>
    <xf numFmtId="2" fontId="0" fillId="0" borderId="0" xfId="0" applyNumberFormat="1" applyBorder="1"/>
    <xf numFmtId="2" fontId="0" fillId="0" borderId="82" xfId="0" applyNumberFormat="1" applyBorder="1"/>
    <xf numFmtId="2" fontId="16" fillId="0" borderId="21" xfId="8" applyNumberFormat="1" applyFont="1" applyFill="1" applyBorder="1" applyAlignment="1">
      <alignment wrapText="1"/>
    </xf>
    <xf numFmtId="2" fontId="16" fillId="0" borderId="105" xfId="8" applyNumberFormat="1" applyFont="1" applyFill="1" applyBorder="1" applyAlignment="1">
      <alignment wrapText="1"/>
    </xf>
    <xf numFmtId="2" fontId="16" fillId="0" borderId="62" xfId="8" applyNumberFormat="1" applyFont="1" applyFill="1" applyBorder="1" applyAlignment="1">
      <alignment wrapText="1"/>
    </xf>
    <xf numFmtId="2" fontId="0" fillId="0" borderId="62" xfId="0" applyNumberFormat="1" applyBorder="1"/>
    <xf numFmtId="2" fontId="0" fillId="0" borderId="18" xfId="0" applyNumberFormat="1" applyBorder="1"/>
    <xf numFmtId="0" fontId="23" fillId="0" borderId="121" xfId="0" applyNumberFormat="1" applyFont="1" applyFill="1" applyBorder="1" applyAlignment="1">
      <alignment horizontal="left" vertical="top" wrapText="1"/>
    </xf>
    <xf numFmtId="2" fontId="23" fillId="0" borderId="104" xfId="0" applyNumberFormat="1" applyFont="1" applyFill="1" applyBorder="1" applyAlignment="1">
      <alignment horizontal="left" vertical="top" wrapText="1"/>
    </xf>
    <xf numFmtId="2" fontId="0" fillId="0" borderId="53" xfId="0" applyNumberFormat="1" applyBorder="1"/>
    <xf numFmtId="2" fontId="0" fillId="0" borderId="103" xfId="0" applyNumberFormat="1" applyBorder="1"/>
    <xf numFmtId="2" fontId="23" fillId="0" borderId="21" xfId="0" applyNumberFormat="1" applyFont="1" applyFill="1" applyBorder="1" applyAlignment="1">
      <alignment horizontal="left" vertical="top" wrapText="1"/>
    </xf>
    <xf numFmtId="2" fontId="23" fillId="0" borderId="0" xfId="0" applyNumberFormat="1" applyFont="1" applyFill="1" applyBorder="1" applyAlignment="1">
      <alignment horizontal="left" vertical="top" wrapText="1"/>
    </xf>
    <xf numFmtId="2" fontId="23" fillId="0" borderId="53" xfId="0" applyNumberFormat="1" applyFont="1" applyFill="1" applyBorder="1" applyAlignment="1">
      <alignment horizontal="left" vertical="top"/>
    </xf>
    <xf numFmtId="0" fontId="0" fillId="0" borderId="121" xfId="0" applyNumberFormat="1" applyFont="1" applyBorder="1" applyAlignment="1">
      <alignment vertical="top" wrapText="1"/>
    </xf>
    <xf numFmtId="0" fontId="23" fillId="0" borderId="121" xfId="0" applyNumberFormat="1" applyFont="1" applyFill="1" applyBorder="1" applyAlignment="1">
      <alignment vertical="top" wrapText="1"/>
    </xf>
    <xf numFmtId="176" fontId="16" fillId="0" borderId="0" xfId="8" applyNumberFormat="1" applyFont="1" applyFill="1" applyBorder="1" applyAlignment="1">
      <alignment horizontal="right" wrapText="1"/>
    </xf>
    <xf numFmtId="176" fontId="0" fillId="0" borderId="0" xfId="0" applyNumberFormat="1" applyBorder="1"/>
    <xf numFmtId="176" fontId="0" fillId="0" borderId="82" xfId="0" applyNumberFormat="1" applyBorder="1"/>
    <xf numFmtId="176" fontId="16" fillId="0" borderId="62" xfId="8" applyNumberFormat="1" applyFont="1" applyFill="1" applyBorder="1" applyAlignment="1">
      <alignment horizontal="right" wrapText="1"/>
    </xf>
    <xf numFmtId="176" fontId="0" fillId="0" borderId="62" xfId="0" applyNumberFormat="1" applyBorder="1"/>
    <xf numFmtId="176" fontId="0" fillId="0" borderId="18" xfId="0" applyNumberFormat="1" applyBorder="1"/>
    <xf numFmtId="2" fontId="0" fillId="0" borderId="21" xfId="0" applyNumberFormat="1" applyBorder="1"/>
    <xf numFmtId="2" fontId="0" fillId="0" borderId="105" xfId="0" applyNumberFormat="1" applyBorder="1"/>
    <xf numFmtId="178" fontId="0" fillId="0" borderId="82" xfId="0" applyNumberFormat="1" applyBorder="1"/>
    <xf numFmtId="176" fontId="101" fillId="0" borderId="0" xfId="8" applyNumberFormat="1" applyFont="1" applyFill="1" applyBorder="1" applyAlignment="1">
      <alignment horizontal="right" wrapText="1"/>
    </xf>
    <xf numFmtId="176" fontId="102" fillId="0" borderId="0" xfId="0" applyNumberFormat="1" applyFont="1" applyBorder="1"/>
    <xf numFmtId="2" fontId="102" fillId="0" borderId="62" xfId="0" applyNumberFormat="1" applyFont="1" applyBorder="1"/>
    <xf numFmtId="0" fontId="102" fillId="0" borderId="121" xfId="0" applyNumberFormat="1" applyFont="1" applyFill="1" applyBorder="1" applyAlignment="1">
      <alignment horizontal="right" vertical="top" wrapText="1"/>
    </xf>
    <xf numFmtId="0" fontId="102" fillId="0" borderId="121" xfId="0" applyNumberFormat="1" applyFont="1" applyBorder="1" applyAlignment="1">
      <alignment horizontal="right" vertical="top" wrapText="1"/>
    </xf>
    <xf numFmtId="0" fontId="0" fillId="0" borderId="125" xfId="0" applyNumberFormat="1" applyFont="1" applyBorder="1" applyAlignment="1">
      <alignment horizontal="right" vertical="top" wrapText="1"/>
    </xf>
    <xf numFmtId="0" fontId="31" fillId="0" borderId="0" xfId="0" applyNumberFormat="1" applyFont="1" applyFill="1" applyBorder="1"/>
    <xf numFmtId="0" fontId="104" fillId="0" borderId="82" xfId="0" applyNumberFormat="1" applyFont="1" applyFill="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65" fontId="6" fillId="13" borderId="15" xfId="0" applyNumberFormat="1" applyFont="1" applyFill="1" applyBorder="1"/>
    <xf numFmtId="165" fontId="0" fillId="13" borderId="15" xfId="0" applyNumberFormat="1" applyFill="1" applyBorder="1"/>
    <xf numFmtId="169" fontId="71" fillId="26" borderId="0" xfId="151" applyFill="1" applyAlignment="1" applyProtection="1">
      <alignment vertical="center"/>
    </xf>
    <xf numFmtId="1" fontId="60" fillId="0" borderId="111" xfId="0" applyNumberFormat="1" applyFont="1" applyFill="1" applyBorder="1" applyAlignment="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79" xfId="0" applyNumberFormat="1" applyFont="1" applyFill="1" applyBorder="1" applyAlignment="1" applyProtection="1">
      <alignment horizontal="center" vertical="center"/>
      <protection locked="0"/>
    </xf>
    <xf numFmtId="1" fontId="60" fillId="0" borderId="111" xfId="0" applyNumberFormat="1" applyFont="1" applyFill="1" applyBorder="1" applyAlignment="1">
      <alignment vertical="center" wrapText="1"/>
    </xf>
    <xf numFmtId="1" fontId="60" fillId="0" borderId="112" xfId="0" applyNumberFormat="1" applyFont="1" applyFill="1" applyBorder="1" applyAlignment="1" applyProtection="1">
      <alignment horizontal="center" vertical="center"/>
      <protection locked="0"/>
    </xf>
    <xf numFmtId="1" fontId="60" fillId="0" borderId="105" xfId="0" applyNumberFormat="1" applyFont="1" applyFill="1" applyBorder="1" applyAlignment="1">
      <alignment vertical="center" wrapText="1"/>
    </xf>
    <xf numFmtId="1" fontId="60" fillId="0" borderId="63" xfId="0" applyNumberFormat="1" applyFont="1" applyFill="1" applyBorder="1" applyAlignment="1" applyProtection="1">
      <alignment horizontal="center" vertical="center"/>
      <protection locked="0"/>
    </xf>
    <xf numFmtId="1" fontId="60" fillId="0" borderId="175" xfId="0" applyNumberFormat="1" applyFont="1" applyFill="1" applyBorder="1" applyAlignment="1" applyProtection="1">
      <alignment horizontal="center" vertical="center"/>
      <protection locked="0"/>
    </xf>
    <xf numFmtId="1" fontId="60" fillId="0" borderId="176" xfId="0" applyNumberFormat="1" applyFont="1" applyFill="1" applyBorder="1" applyAlignment="1" applyProtection="1">
      <alignment horizontal="center" vertical="center"/>
      <protection locked="0"/>
    </xf>
    <xf numFmtId="1" fontId="60" fillId="0" borderId="11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9" borderId="50" xfId="0" applyNumberFormat="1" applyFont="1" applyFill="1" applyBorder="1" applyAlignment="1" applyProtection="1">
      <alignment horizontal="center" vertical="center"/>
      <protection locked="0"/>
    </xf>
    <xf numFmtId="1" fontId="60" fillId="19" borderId="49" xfId="0" applyNumberFormat="1" applyFont="1" applyFill="1" applyBorder="1" applyAlignment="1" applyProtection="1">
      <alignment horizontal="center" vertical="center"/>
      <protection locked="0"/>
    </xf>
    <xf numFmtId="1" fontId="60" fillId="19" borderId="113" xfId="0" applyNumberFormat="1" applyFont="1" applyFill="1" applyBorder="1" applyAlignment="1" applyProtection="1">
      <alignment horizontal="center" vertical="center"/>
      <protection locked="0"/>
    </xf>
    <xf numFmtId="1" fontId="58" fillId="18" borderId="114" xfId="0" applyNumberFormat="1" applyFont="1" applyFill="1" applyBorder="1" applyAlignment="1">
      <alignment vertical="center"/>
    </xf>
    <xf numFmtId="1" fontId="60" fillId="18" borderId="115" xfId="0" applyNumberFormat="1" applyFont="1" applyFill="1" applyBorder="1" applyAlignment="1">
      <alignment horizontal="center" vertical="center"/>
    </xf>
    <xf numFmtId="1" fontId="60" fillId="0" borderId="4" xfId="0" applyNumberFormat="1" applyFont="1" applyFill="1" applyBorder="1" applyAlignment="1" applyProtection="1">
      <alignment horizontal="center" vertical="center"/>
      <protection locked="0"/>
    </xf>
    <xf numFmtId="1" fontId="60" fillId="0" borderId="5"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 fontId="57" fillId="12" borderId="105" xfId="0" applyNumberFormat="1" applyFont="1" applyFill="1" applyBorder="1" applyAlignment="1">
      <alignment vertical="center"/>
    </xf>
    <xf numFmtId="1" fontId="60" fillId="19" borderId="75" xfId="0" applyNumberFormat="1" applyFont="1" applyFill="1" applyBorder="1" applyAlignment="1" applyProtection="1">
      <alignment horizontal="center" vertical="center"/>
      <protection locked="0"/>
    </xf>
    <xf numFmtId="1" fontId="60" fillId="19" borderId="106" xfId="0" applyNumberFormat="1" applyFont="1" applyFill="1" applyBorder="1" applyAlignment="1" applyProtection="1">
      <alignment horizontal="center" vertical="center"/>
      <protection locked="0"/>
    </xf>
    <xf numFmtId="1" fontId="60" fillId="19" borderId="185" xfId="0" applyNumberFormat="1" applyFont="1" applyFill="1" applyBorder="1" applyAlignment="1" applyProtection="1">
      <alignment horizontal="center" vertical="center"/>
      <protection locked="0"/>
    </xf>
    <xf numFmtId="1" fontId="52" fillId="12" borderId="117" xfId="0" applyNumberFormat="1" applyFont="1" applyFill="1" applyBorder="1" applyAlignment="1">
      <alignment vertical="center"/>
    </xf>
    <xf numFmtId="1" fontId="57" fillId="19" borderId="118" xfId="0" applyNumberFormat="1" applyFont="1" applyFill="1" applyBorder="1" applyAlignment="1" applyProtection="1">
      <alignment horizontal="center" vertical="center"/>
      <protection locked="0"/>
    </xf>
    <xf numFmtId="1" fontId="57" fillId="19" borderId="71" xfId="0" applyNumberFormat="1" applyFont="1" applyFill="1" applyBorder="1" applyAlignment="1" applyProtection="1">
      <alignment horizontal="center" vertical="center"/>
      <protection locked="0"/>
    </xf>
    <xf numFmtId="1" fontId="57" fillId="19" borderId="11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8"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8"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8" fillId="18" borderId="42" xfId="0" applyNumberFormat="1" applyFont="1" applyFill="1" applyBorder="1" applyAlignment="1"/>
    <xf numFmtId="1" fontId="57" fillId="18" borderId="60" xfId="0" applyNumberFormat="1" applyFont="1" applyFill="1" applyBorder="1" applyAlignment="1">
      <alignment horizontal="center" vertical="center"/>
    </xf>
    <xf numFmtId="1" fontId="57" fillId="18" borderId="61"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7" xfId="0" applyNumberFormat="1" applyFont="1" applyFill="1" applyBorder="1" applyAlignment="1">
      <alignment horizontal="center" vertical="center"/>
    </xf>
    <xf numFmtId="1" fontId="57" fillId="18" borderId="180" xfId="0" applyNumberFormat="1" applyFont="1" applyFill="1" applyBorder="1" applyAlignment="1">
      <alignment horizontal="center" vertical="center"/>
    </xf>
    <xf numFmtId="1" fontId="57" fillId="18" borderId="51" xfId="0" applyNumberFormat="1" applyFont="1" applyFill="1" applyBorder="1" applyAlignment="1">
      <alignment horizontal="center" vertical="center"/>
    </xf>
    <xf numFmtId="1" fontId="60" fillId="0" borderId="46" xfId="0" applyNumberFormat="1" applyFont="1" applyFill="1" applyBorder="1" applyAlignment="1"/>
    <xf numFmtId="1" fontId="60" fillId="0" borderId="79"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xf numFmtId="1" fontId="60" fillId="0" borderId="142" xfId="0" applyNumberFormat="1" applyFont="1" applyFill="1" applyBorder="1" applyAlignment="1">
      <alignment wrapText="1"/>
    </xf>
    <xf numFmtId="1" fontId="60" fillId="0" borderId="101" xfId="0" applyNumberFormat="1" applyFont="1" applyFill="1" applyBorder="1" applyAlignment="1" applyProtection="1">
      <alignment horizontal="center" vertical="center"/>
      <protection locked="0"/>
    </xf>
    <xf numFmtId="1" fontId="57" fillId="12" borderId="49" xfId="0" applyNumberFormat="1" applyFont="1" applyFill="1" applyBorder="1" applyAlignment="1"/>
    <xf numFmtId="1" fontId="60" fillId="19" borderId="182" xfId="0" applyNumberFormat="1" applyFont="1" applyFill="1" applyBorder="1" applyAlignment="1" applyProtection="1">
      <alignment horizontal="center" vertical="center"/>
      <protection locked="0"/>
    </xf>
    <xf numFmtId="1" fontId="60" fillId="19" borderId="183" xfId="0" applyNumberFormat="1" applyFont="1" applyFill="1" applyBorder="1" applyAlignment="1" applyProtection="1">
      <alignment horizontal="center" vertical="center"/>
      <protection locked="0"/>
    </xf>
    <xf numFmtId="1" fontId="60" fillId="19" borderId="88" xfId="0" applyNumberFormat="1" applyFont="1" applyFill="1" applyBorder="1" applyAlignment="1" applyProtection="1">
      <alignment horizontal="center" vertical="center"/>
      <protection locked="0"/>
    </xf>
    <xf numFmtId="1" fontId="60" fillId="19" borderId="184" xfId="0" applyNumberFormat="1" applyFont="1" applyFill="1" applyBorder="1" applyAlignment="1" applyProtection="1">
      <alignment horizontal="center" vertical="center"/>
      <protection locked="0"/>
    </xf>
    <xf numFmtId="1" fontId="58" fillId="18" borderId="51"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60" fillId="0" borderId="101" xfId="0" applyNumberFormat="1" applyFont="1" applyFill="1" applyBorder="1" applyAlignment="1"/>
    <xf numFmtId="1" fontId="57" fillId="12" borderId="181" xfId="0" applyNumberFormat="1" applyFont="1" applyFill="1" applyBorder="1" applyAlignment="1"/>
    <xf numFmtId="1" fontId="58" fillId="18" borderId="54" xfId="0" applyNumberFormat="1" applyFont="1" applyFill="1" applyBorder="1" applyAlignment="1">
      <alignment vertical="center"/>
    </xf>
    <xf numFmtId="1" fontId="57" fillId="18" borderId="66" xfId="0" applyNumberFormat="1" applyFont="1" applyFill="1" applyBorder="1" applyAlignment="1">
      <alignment horizontal="center" vertical="center"/>
    </xf>
    <xf numFmtId="1" fontId="60" fillId="20" borderId="47" xfId="0" applyNumberFormat="1" applyFont="1" applyFill="1" applyBorder="1" applyAlignment="1">
      <alignment vertical="center"/>
    </xf>
    <xf numFmtId="1" fontId="57"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lignment vertical="center"/>
    </xf>
    <xf numFmtId="1" fontId="57" fillId="0" borderId="47" xfId="0" applyNumberFormat="1" applyFont="1" applyFill="1" applyBorder="1" applyAlignment="1" applyProtection="1">
      <alignment horizontal="center" vertical="center"/>
      <protection locked="0"/>
    </xf>
    <xf numFmtId="1" fontId="64" fillId="0" borderId="35" xfId="0" applyNumberFormat="1" applyFont="1" applyFill="1" applyBorder="1" applyAlignment="1" applyProtection="1">
      <protection locked="0"/>
    </xf>
    <xf numFmtId="1" fontId="52" fillId="12" borderId="58" xfId="0" applyNumberFormat="1" applyFont="1" applyFill="1" applyBorder="1" applyAlignment="1"/>
    <xf numFmtId="1" fontId="57" fillId="19" borderId="75" xfId="0" applyNumberFormat="1" applyFont="1" applyFill="1" applyBorder="1" applyAlignment="1" applyProtection="1">
      <alignment horizontal="center" vertical="center"/>
      <protection locked="0"/>
    </xf>
    <xf numFmtId="1" fontId="57" fillId="19" borderId="76" xfId="0" applyNumberFormat="1" applyFont="1" applyFill="1" applyBorder="1" applyAlignment="1" applyProtection="1">
      <alignment horizontal="center" vertical="center"/>
      <protection locked="0"/>
    </xf>
    <xf numFmtId="1" fontId="57" fillId="19" borderId="187" xfId="0" applyNumberFormat="1" applyFont="1" applyFill="1" applyBorder="1" applyAlignment="1" applyProtection="1">
      <alignment horizontal="center" vertical="center"/>
      <protection locked="0"/>
    </xf>
    <xf numFmtId="1" fontId="57" fillId="19" borderId="188"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justify"/>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57" fillId="0" borderId="58" xfId="0" applyNumberFormat="1" applyFont="1" applyBorder="1" applyAlignment="1">
      <alignment wrapText="1"/>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5" fillId="0" borderId="0" xfId="0" applyNumberFormat="1" applyFont="1" applyAlignment="1">
      <alignment horizontal="center"/>
    </xf>
    <xf numFmtId="1" fontId="57" fillId="12" borderId="8" xfId="0" applyNumberFormat="1" applyFont="1" applyFill="1" applyBorder="1" applyAlignment="1">
      <alignment horizontal="center" vertical="center" wrapText="1"/>
    </xf>
    <xf numFmtId="1" fontId="57" fillId="12" borderId="61" xfId="0" applyNumberFormat="1" applyFont="1" applyFill="1" applyBorder="1" applyAlignment="1">
      <alignment horizontal="center" vertical="center" wrapText="1"/>
    </xf>
    <xf numFmtId="1" fontId="57" fillId="12" borderId="75"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73"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57" fillId="12" borderId="77" xfId="0" applyNumberFormat="1" applyFont="1" applyFill="1" applyBorder="1" applyAlignment="1">
      <alignment horizontal="center" vertical="center" wrapText="1"/>
    </xf>
    <xf numFmtId="1" fontId="57" fillId="12" borderId="70" xfId="0" applyNumberFormat="1" applyFont="1" applyFill="1" applyBorder="1" applyAlignment="1">
      <alignment horizontal="center" vertical="center" wrapText="1"/>
    </xf>
    <xf numFmtId="1" fontId="67" fillId="0" borderId="79" xfId="0" applyNumberFormat="1" applyFont="1" applyFill="1" applyBorder="1" applyAlignment="1">
      <alignment horizontal="center"/>
    </xf>
    <xf numFmtId="1" fontId="57" fillId="0" borderId="12" xfId="0" applyNumberFormat="1" applyFont="1" applyFill="1" applyBorder="1" applyAlignment="1" applyProtection="1">
      <alignment horizontal="center" vertical="center"/>
      <protection locked="0"/>
    </xf>
    <xf numFmtId="1" fontId="9" fillId="21" borderId="57" xfId="0" applyNumberFormat="1" applyFont="1" applyFill="1" applyBorder="1" applyAlignment="1">
      <alignment horizontal="center" vertical="center"/>
    </xf>
    <xf numFmtId="1" fontId="57" fillId="19" borderId="79" xfId="0" applyNumberFormat="1" applyFont="1" applyFill="1" applyBorder="1" applyAlignment="1" applyProtection="1">
      <alignment horizontal="center" vertical="center"/>
      <protection locked="0"/>
    </xf>
    <xf numFmtId="1" fontId="57" fillId="0" borderId="47" xfId="0" applyNumberFormat="1" applyFont="1" applyFill="1" applyBorder="1" applyAlignment="1">
      <alignment horizontal="center"/>
    </xf>
    <xf numFmtId="1" fontId="9" fillId="21" borderId="0" xfId="0" applyNumberFormat="1" applyFont="1" applyFill="1" applyBorder="1" applyAlignment="1">
      <alignment horizontal="center" vertical="center"/>
    </xf>
    <xf numFmtId="1" fontId="57" fillId="19" borderId="47" xfId="0" applyNumberFormat="1" applyFont="1" applyFill="1" applyBorder="1" applyAlignment="1" applyProtection="1">
      <alignment horizontal="center" vertical="center"/>
      <protection locked="0"/>
    </xf>
    <xf numFmtId="1" fontId="9" fillId="21" borderId="12" xfId="0" applyNumberFormat="1" applyFont="1" applyFill="1" applyBorder="1" applyAlignment="1">
      <alignment horizontal="center" vertic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6"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9" fillId="0" borderId="29" xfId="0" applyNumberFormat="1" applyFont="1" applyFill="1" applyBorder="1" applyAlignment="1">
      <alignment horizontal="center" vertical="center"/>
    </xf>
    <xf numFmtId="1" fontId="9" fillId="0" borderId="57" xfId="0" applyNumberFormat="1" applyFont="1" applyFill="1" applyBorder="1" applyAlignment="1">
      <alignment horizontal="center" vertical="center"/>
    </xf>
    <xf numFmtId="1" fontId="57" fillId="0" borderId="57" xfId="0" applyNumberFormat="1" applyFont="1" applyBorder="1" applyAlignment="1">
      <alignment horizontal="justify"/>
    </xf>
    <xf numFmtId="1" fontId="57" fillId="0" borderId="0" xfId="0" applyNumberFormat="1" applyFont="1" applyBorder="1" applyAlignment="1">
      <alignment horizontal="center"/>
    </xf>
    <xf numFmtId="1" fontId="9" fillId="0" borderId="57" xfId="0" applyNumberFormat="1" applyFont="1" applyBorder="1" applyAlignment="1">
      <alignment horizontal="center"/>
    </xf>
    <xf numFmtId="1" fontId="9" fillId="0" borderId="57"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49" fillId="0" borderId="0" xfId="0" applyNumberFormat="1" applyFont="1" applyFill="1" applyBorder="1" applyAlignment="1">
      <alignment horizontal="center" vertical="top" wrapText="1"/>
    </xf>
    <xf numFmtId="1" fontId="57" fillId="12" borderId="36"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89" xfId="0" applyNumberFormat="1" applyFont="1" applyFill="1" applyBorder="1" applyAlignment="1">
      <alignment horizontal="center" vertical="center" wrapText="1"/>
    </xf>
    <xf numFmtId="1" fontId="67" fillId="0" borderId="79" xfId="0" applyNumberFormat="1" applyFont="1" applyBorder="1" applyAlignment="1">
      <alignment horizontal="center" vertical="center"/>
    </xf>
    <xf numFmtId="1" fontId="57" fillId="0" borderId="79"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49" fillId="0" borderId="0" xfId="0" applyNumberFormat="1" applyFont="1" applyBorder="1" applyAlignment="1">
      <alignment horizontal="center" vertical="center" wrapText="1"/>
    </xf>
    <xf numFmtId="1" fontId="57" fillId="0" borderId="35" xfId="0" applyNumberFormat="1" applyFont="1" applyFill="1" applyBorder="1" applyAlignment="1">
      <alignment horizontal="center" vertical="center"/>
    </xf>
    <xf numFmtId="1" fontId="70" fillId="0" borderId="57" xfId="0" applyNumberFormat="1" applyFont="1" applyBorder="1" applyAlignment="1">
      <alignment horizontal="justify"/>
    </xf>
    <xf numFmtId="1" fontId="70" fillId="0" borderId="57" xfId="0" applyNumberFormat="1" applyFont="1" applyBorder="1" applyAlignment="1">
      <alignment horizontal="center"/>
    </xf>
    <xf numFmtId="1" fontId="57" fillId="0" borderId="57" xfId="0" applyNumberFormat="1" applyFont="1" applyBorder="1" applyAlignment="1">
      <alignment horizontal="center"/>
    </xf>
    <xf numFmtId="1" fontId="28" fillId="0" borderId="57" xfId="0" applyNumberFormat="1" applyFont="1" applyBorder="1" applyAlignment="1">
      <alignment horizontal="center"/>
    </xf>
    <xf numFmtId="0" fontId="0" fillId="0" borderId="0" xfId="0" applyNumberFormat="1" applyFill="1" applyBorder="1"/>
    <xf numFmtId="1" fontId="60" fillId="0" borderId="86" xfId="0" applyNumberFormat="1" applyFont="1" applyFill="1" applyBorder="1" applyAlignment="1" applyProtection="1">
      <alignment horizontal="center" vertical="center"/>
      <protection locked="0"/>
    </xf>
    <xf numFmtId="1" fontId="60" fillId="0" borderId="15" xfId="0" applyNumberFormat="1" applyFont="1" applyFill="1" applyBorder="1" applyAlignment="1" applyProtection="1">
      <alignment horizontal="center" vertical="center"/>
      <protection locked="0"/>
    </xf>
    <xf numFmtId="1" fontId="60" fillId="0" borderId="55" xfId="0" applyNumberFormat="1" applyFont="1" applyFill="1" applyBorder="1" applyAlignment="1" applyProtection="1">
      <alignment horizontal="center" vertical="center"/>
      <protection locked="0"/>
    </xf>
    <xf numFmtId="1" fontId="60" fillId="0" borderId="102"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0" fontId="23" fillId="0" borderId="105" xfId="0" applyNumberFormat="1" applyFont="1" applyFill="1" applyBorder="1"/>
    <xf numFmtId="0" fontId="23" fillId="0" borderId="62" xfId="0" applyNumberFormat="1" applyFont="1" applyFill="1" applyBorder="1"/>
    <xf numFmtId="174" fontId="23" fillId="0" borderId="18" xfId="0" applyNumberFormat="1" applyFont="1" applyFill="1" applyBorder="1"/>
    <xf numFmtId="169" fontId="23" fillId="0" borderId="0" xfId="0" applyFont="1" applyFill="1"/>
    <xf numFmtId="169" fontId="71" fillId="0" borderId="0" xfId="151" applyAlignment="1" applyProtection="1">
      <alignment vertical="center"/>
    </xf>
    <xf numFmtId="14" fontId="0" fillId="0" borderId="0" xfId="0" applyNumberFormat="1"/>
    <xf numFmtId="169" fontId="71" fillId="0" borderId="0" xfId="151" quotePrefix="1" applyAlignment="1" applyProtection="1"/>
    <xf numFmtId="169" fontId="6" fillId="0" borderId="0" xfId="0" applyFont="1" applyAlignment="1">
      <alignment horizontal="right"/>
    </xf>
    <xf numFmtId="179" fontId="0" fillId="0" borderId="0" xfId="0" applyNumberFormat="1"/>
    <xf numFmtId="4" fontId="23" fillId="0" borderId="0" xfId="0" applyNumberFormat="1" applyFont="1" applyBorder="1"/>
    <xf numFmtId="2" fontId="60" fillId="19" borderId="56"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69" fontId="71" fillId="0" borderId="0" xfId="151" applyAlignment="1" applyProtection="1"/>
    <xf numFmtId="3" fontId="16" fillId="0" borderId="171" xfId="8" applyNumberFormat="1" applyFont="1" applyFill="1" applyBorder="1" applyAlignment="1">
      <alignment wrapText="1"/>
    </xf>
    <xf numFmtId="165" fontId="0" fillId="3" borderId="0" xfId="0" applyNumberFormat="1" applyFill="1" applyBorder="1"/>
    <xf numFmtId="165"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1" fontId="0" fillId="0" borderId="0" xfId="0" applyNumberFormat="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2" xfId="0" applyNumberFormat="1" applyBorder="1" applyAlignment="1">
      <alignment horizontal="left" vertical="top" wrapText="1"/>
    </xf>
    <xf numFmtId="0" fontId="74" fillId="12" borderId="88"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0" fontId="75" fillId="12" borderId="19" xfId="0" applyNumberFormat="1" applyFont="1" applyFill="1" applyBorder="1" applyAlignment="1">
      <alignment horizontal="left" vertical="center" wrapText="1"/>
    </xf>
    <xf numFmtId="0" fontId="75" fillId="12" borderId="88" xfId="0" applyNumberFormat="1" applyFont="1" applyFill="1" applyBorder="1" applyAlignment="1">
      <alignment horizontal="left" vertical="center" wrapText="1"/>
    </xf>
    <xf numFmtId="1" fontId="57" fillId="19" borderId="102" xfId="0" applyNumberFormat="1" applyFont="1" applyFill="1" applyBorder="1" applyAlignment="1" applyProtection="1">
      <alignment horizontal="center" vertical="center"/>
      <protection locked="0"/>
    </xf>
    <xf numFmtId="1" fontId="57" fillId="19" borderId="40" xfId="0" applyNumberFormat="1" applyFont="1" applyFill="1" applyBorder="1" applyAlignment="1" applyProtection="1">
      <alignment horizontal="center" vertical="center"/>
      <protection locked="0"/>
    </xf>
    <xf numFmtId="1" fontId="9" fillId="0" borderId="68"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7" fillId="12" borderId="60" xfId="0" applyNumberFormat="1" applyFont="1" applyFill="1" applyBorder="1" applyAlignment="1">
      <alignment horizontal="center" vertical="center" wrapText="1"/>
    </xf>
    <xf numFmtId="1" fontId="57" fillId="12" borderId="70" xfId="0" applyNumberFormat="1" applyFont="1" applyFill="1" applyBorder="1" applyAlignment="1">
      <alignment horizontal="center" vertical="center" wrapText="1"/>
    </xf>
    <xf numFmtId="1" fontId="57" fillId="12" borderId="7"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1"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5" xfId="0" applyNumberFormat="1" applyFont="1" applyFill="1" applyBorder="1" applyAlignment="1">
      <alignment horizontal="center" vertical="center" wrapText="1"/>
    </xf>
    <xf numFmtId="1" fontId="69" fillId="12" borderId="78" xfId="0" applyNumberFormat="1" applyFont="1" applyFill="1" applyBorder="1" applyAlignment="1">
      <alignment horizontal="center" vertical="center" wrapText="1"/>
    </xf>
    <xf numFmtId="1" fontId="57" fillId="19" borderId="11" xfId="0" applyNumberFormat="1" applyFont="1" applyFill="1" applyBorder="1" applyAlignment="1" applyProtection="1">
      <alignment horizontal="center" vertical="center"/>
      <protection locked="0"/>
    </xf>
    <xf numFmtId="1" fontId="57" fillId="19" borderId="90"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left" vertical="center" wrapText="1"/>
    </xf>
    <xf numFmtId="1" fontId="57" fillId="12" borderId="42"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2" fillId="12" borderId="71" xfId="0" applyNumberFormat="1" applyFont="1" applyFill="1" applyBorder="1" applyAlignment="1">
      <alignment horizontal="center" vertical="center"/>
    </xf>
    <xf numFmtId="1" fontId="52" fillId="12" borderId="72" xfId="0" applyNumberFormat="1" applyFont="1" applyFill="1" applyBorder="1" applyAlignment="1">
      <alignment horizontal="center" vertical="center"/>
    </xf>
    <xf numFmtId="1" fontId="52" fillId="12" borderId="73" xfId="0" applyNumberFormat="1" applyFont="1" applyFill="1" applyBorder="1" applyAlignment="1">
      <alignment horizontal="center" vertical="center"/>
    </xf>
    <xf numFmtId="1" fontId="57" fillId="12" borderId="45"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74" xfId="0" applyNumberFormat="1" applyFont="1" applyFill="1" applyBorder="1" applyAlignment="1">
      <alignment horizontal="center" vertical="center" wrapText="1"/>
    </xf>
    <xf numFmtId="1" fontId="60" fillId="12" borderId="49" xfId="0" applyNumberFormat="1" applyFont="1" applyFill="1" applyBorder="1" applyAlignment="1">
      <alignment horizontal="center" vertical="center" wrapText="1"/>
    </xf>
    <xf numFmtId="1" fontId="60" fillId="12" borderId="88"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9" borderId="83" xfId="0" applyNumberFormat="1" applyFont="1" applyFill="1" applyBorder="1" applyAlignment="1" applyProtection="1">
      <alignment horizontal="center" vertical="center"/>
      <protection locked="0"/>
    </xf>
    <xf numFmtId="1" fontId="57" fillId="19" borderId="46" xfId="0" applyNumberFormat="1" applyFont="1" applyFill="1" applyBorder="1" applyAlignment="1" applyProtection="1">
      <alignment horizontal="center" vertical="center"/>
      <protection locked="0"/>
    </xf>
    <xf numFmtId="1" fontId="57" fillId="19" borderId="99" xfId="0" applyNumberFormat="1" applyFont="1" applyFill="1" applyBorder="1" applyAlignment="1" applyProtection="1">
      <alignment horizontal="center" vertical="center"/>
      <protection locked="0"/>
    </xf>
    <xf numFmtId="1" fontId="57" fillId="19" borderId="98" xfId="0" applyNumberFormat="1" applyFont="1" applyFill="1" applyBorder="1" applyAlignment="1" applyProtection="1">
      <alignment horizontal="center" vertical="center"/>
      <protection locked="0"/>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33" xfId="0" applyNumberFormat="1" applyFont="1" applyFill="1" applyBorder="1" applyAlignment="1">
      <alignment horizontal="center" vertical="center"/>
    </xf>
    <xf numFmtId="1" fontId="57" fillId="12" borderId="78" xfId="0" applyNumberFormat="1" applyFont="1" applyFill="1" applyBorder="1" applyAlignment="1">
      <alignment horizontal="center" vertical="center" wrapText="1"/>
    </xf>
    <xf numFmtId="1" fontId="57" fillId="19" borderId="174" xfId="0" applyNumberFormat="1" applyFont="1" applyFill="1" applyBorder="1" applyAlignment="1" applyProtection="1">
      <alignment horizontal="center" vertical="center"/>
      <protection locked="0"/>
    </xf>
    <xf numFmtId="1" fontId="57" fillId="19" borderId="44" xfId="0" applyNumberFormat="1" applyFont="1" applyFill="1" applyBorder="1" applyAlignment="1" applyProtection="1">
      <alignment horizontal="center" vertical="center"/>
      <protection locked="0"/>
    </xf>
    <xf numFmtId="1" fontId="9" fillId="21" borderId="29" xfId="0" applyNumberFormat="1" applyFont="1" applyFill="1" applyBorder="1" applyAlignment="1">
      <alignment horizontal="center" vertical="center"/>
    </xf>
    <xf numFmtId="1" fontId="9" fillId="21" borderId="68" xfId="0" applyNumberFormat="1" applyFont="1" applyFill="1" applyBorder="1" applyAlignment="1">
      <alignment horizontal="center" vertical="center"/>
    </xf>
    <xf numFmtId="1" fontId="9" fillId="21" borderId="69" xfId="0" applyNumberFormat="1" applyFont="1" applyFill="1" applyBorder="1" applyAlignment="1">
      <alignment horizontal="center" vertical="center"/>
    </xf>
    <xf numFmtId="1" fontId="9" fillId="21" borderId="57"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12" xfId="0" applyNumberFormat="1" applyFont="1" applyFill="1" applyBorder="1" applyAlignment="1">
      <alignment horizontal="center" vertical="center"/>
    </xf>
    <xf numFmtId="1" fontId="57" fillId="21" borderId="57"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12" xfId="0" applyNumberFormat="1" applyFont="1" applyFill="1" applyBorder="1" applyAlignment="1">
      <alignment horizontal="center" vertical="center" wrapText="1"/>
    </xf>
    <xf numFmtId="1" fontId="9" fillId="21" borderId="80" xfId="0" applyNumberFormat="1" applyFont="1" applyFill="1" applyBorder="1" applyAlignment="1">
      <alignment horizontal="center" vertical="center"/>
    </xf>
    <xf numFmtId="1" fontId="9" fillId="21" borderId="82" xfId="0" applyNumberFormat="1" applyFont="1" applyFill="1" applyBorder="1" applyAlignment="1">
      <alignment horizontal="center" vertical="center"/>
    </xf>
    <xf numFmtId="1" fontId="9" fillId="21" borderId="84" xfId="0" applyNumberFormat="1" applyFont="1" applyFill="1" applyBorder="1" applyAlignment="1">
      <alignment horizontal="center" vertical="center"/>
    </xf>
    <xf numFmtId="1" fontId="60" fillId="21" borderId="67" xfId="0" applyNumberFormat="1" applyFont="1" applyFill="1" applyBorder="1" applyAlignment="1">
      <alignment horizontal="center" vertical="center"/>
    </xf>
    <xf numFmtId="1" fontId="60" fillId="21" borderId="5" xfId="0" applyNumberFormat="1" applyFont="1" applyFill="1" applyBorder="1" applyAlignment="1">
      <alignment horizontal="center" vertical="center"/>
    </xf>
    <xf numFmtId="1" fontId="60" fillId="21" borderId="68"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1" fontId="60" fillId="12" borderId="48" xfId="0" applyNumberFormat="1" applyFont="1" applyFill="1" applyBorder="1" applyAlignment="1">
      <alignment horizontal="center" vertical="center" wrapText="1"/>
    </xf>
    <xf numFmtId="1" fontId="60" fillId="12" borderId="62"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60" fillId="18" borderId="53" xfId="0" applyNumberFormat="1" applyFont="1" applyFill="1" applyBorder="1" applyAlignment="1">
      <alignment horizontal="center" vertical="center"/>
    </xf>
    <xf numFmtId="1" fontId="28" fillId="0" borderId="0" xfId="0" applyNumberFormat="1" applyFont="1" applyBorder="1" applyAlignment="1">
      <alignment horizontal="justify"/>
    </xf>
    <xf numFmtId="1" fontId="52" fillId="12" borderId="42" xfId="0" applyNumberFormat="1" applyFont="1" applyFill="1" applyBorder="1" applyAlignment="1">
      <alignment horizontal="center" vertical="center" wrapText="1"/>
    </xf>
    <xf numFmtId="1" fontId="52" fillId="12" borderId="31"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4" xfId="0" applyNumberFormat="1" applyFont="1" applyFill="1" applyBorder="1" applyAlignment="1">
      <alignment horizontal="center" vertical="center" wrapText="1"/>
    </xf>
    <xf numFmtId="3" fontId="52" fillId="12" borderId="108" xfId="0" applyNumberFormat="1" applyFont="1" applyFill="1" applyBorder="1" applyAlignment="1">
      <alignment horizontal="center" vertical="center" wrapText="1"/>
    </xf>
    <xf numFmtId="3" fontId="52" fillId="12" borderId="109" xfId="0" applyNumberFormat="1" applyFont="1" applyFill="1" applyBorder="1" applyAlignment="1">
      <alignment horizontal="center" vertical="center" wrapText="1"/>
    </xf>
    <xf numFmtId="3" fontId="52" fillId="12" borderId="106" xfId="0" applyNumberFormat="1" applyFont="1" applyFill="1" applyBorder="1" applyAlignment="1">
      <alignment horizontal="center" vertical="top" wrapText="1"/>
    </xf>
    <xf numFmtId="3" fontId="52" fillId="12" borderId="107" xfId="0" applyNumberFormat="1" applyFont="1" applyFill="1" applyBorder="1" applyAlignment="1">
      <alignment horizontal="center" vertical="top" wrapText="1"/>
    </xf>
    <xf numFmtId="3" fontId="52" fillId="12" borderId="77"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7"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77" xfId="0" applyNumberFormat="1" applyFont="1" applyFill="1" applyBorder="1" applyAlignment="1">
      <alignment horizontal="center" vertical="center" wrapText="1"/>
    </xf>
    <xf numFmtId="3" fontId="57" fillId="12" borderId="178"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23" fillId="0" borderId="104" xfId="0" applyNumberFormat="1" applyFont="1" applyFill="1" applyBorder="1" applyAlignment="1">
      <alignment horizontal="left" vertical="top"/>
    </xf>
    <xf numFmtId="0" fontId="0" fillId="0" borderId="53" xfId="0" applyNumberFormat="1" applyBorder="1" applyAlignment="1"/>
    <xf numFmtId="0" fontId="0" fillId="0" borderId="103" xfId="0" applyNumberFormat="1" applyBorder="1" applyAlignment="1"/>
    <xf numFmtId="0" fontId="7" fillId="23" borderId="3" xfId="5" applyNumberFormat="1" applyFont="1" applyFill="1" applyBorder="1" applyAlignment="1">
      <alignment horizontal="center" vertical="center"/>
    </xf>
    <xf numFmtId="0" fontId="8" fillId="23" borderId="5" xfId="5" applyNumberFormat="1" applyFont="1" applyFill="1" applyBorder="1" applyAlignment="1">
      <alignment horizontal="center" vertical="center"/>
    </xf>
    <xf numFmtId="0" fontId="8" fillId="23" borderId="7" xfId="5" applyNumberFormat="1" applyFont="1" applyFill="1" applyBorder="1" applyAlignment="1">
      <alignment horizontal="center" vertical="center"/>
    </xf>
    <xf numFmtId="0" fontId="8" fillId="23" borderId="0" xfId="5" applyNumberFormat="1" applyFont="1" applyFill="1" applyBorder="1" applyAlignment="1">
      <alignment horizontal="center" vertical="center"/>
    </xf>
    <xf numFmtId="0" fontId="8" fillId="23" borderId="10" xfId="5" applyNumberFormat="1" applyFont="1" applyFill="1" applyBorder="1" applyAlignment="1">
      <alignment horizontal="center" vertical="center"/>
    </xf>
    <xf numFmtId="0" fontId="8" fillId="23" borderId="12" xfId="5" applyNumberFormat="1" applyFont="1" applyFill="1" applyBorder="1" applyAlignment="1">
      <alignment horizontal="center" vertical="center"/>
    </xf>
    <xf numFmtId="169" fontId="52" fillId="12" borderId="19" xfId="0" applyFont="1" applyFill="1" applyBorder="1" applyAlignment="1">
      <alignment horizontal="left" vertical="center" wrapText="1"/>
    </xf>
    <xf numFmtId="169" fontId="52" fillId="12" borderId="88"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69" fontId="36" fillId="12" borderId="91" xfId="0" applyFont="1" applyFill="1" applyBorder="1" applyAlignment="1">
      <alignment horizontal="center" vertical="center" wrapText="1"/>
    </xf>
    <xf numFmtId="169" fontId="36" fillId="12" borderId="93" xfId="0" applyFont="1" applyFill="1" applyBorder="1" applyAlignment="1">
      <alignment horizontal="center" vertical="center" wrapText="1"/>
    </xf>
    <xf numFmtId="169" fontId="36" fillId="12" borderId="95" xfId="0" applyFont="1" applyFill="1" applyBorder="1" applyAlignment="1">
      <alignment horizontal="center" vertical="center" wrapText="1"/>
    </xf>
    <xf numFmtId="169" fontId="36" fillId="12" borderId="92" xfId="0" applyFont="1" applyFill="1" applyBorder="1" applyAlignment="1">
      <alignment horizontal="center" vertical="center" wrapText="1"/>
    </xf>
    <xf numFmtId="169" fontId="36" fillId="12" borderId="94" xfId="0" applyFont="1" applyFill="1" applyBorder="1" applyAlignment="1">
      <alignment horizontal="center" vertical="center" wrapText="1"/>
    </xf>
    <xf numFmtId="169" fontId="36" fillId="12" borderId="17" xfId="0" applyFont="1" applyFill="1" applyBorder="1" applyAlignment="1">
      <alignment horizontal="center" vertical="center" wrapText="1"/>
    </xf>
    <xf numFmtId="169" fontId="36" fillId="12" borderId="15" xfId="0" applyFont="1" applyFill="1" applyBorder="1" applyAlignment="1">
      <alignment horizontal="center" vertical="center" wrapText="1"/>
    </xf>
    <xf numFmtId="169" fontId="36" fillId="12" borderId="25" xfId="0" applyFont="1" applyFill="1" applyBorder="1" applyAlignment="1">
      <alignment horizontal="center" vertical="top" wrapText="1"/>
    </xf>
    <xf numFmtId="169" fontId="36" fillId="12" borderId="26" xfId="0" applyFont="1" applyFill="1" applyBorder="1" applyAlignment="1">
      <alignment horizontal="center" vertical="top" wrapText="1"/>
    </xf>
    <xf numFmtId="169" fontId="37" fillId="12" borderId="6" xfId="0" applyFont="1" applyFill="1" applyBorder="1" applyAlignment="1">
      <alignment horizontal="center" vertical="center" wrapText="1"/>
    </xf>
    <xf numFmtId="169" fontId="37" fillId="12" borderId="13" xfId="0" applyFont="1" applyFill="1" applyBorder="1" applyAlignment="1">
      <alignment horizontal="center" vertical="center" wrapText="1"/>
    </xf>
    <xf numFmtId="169" fontId="37" fillId="12" borderId="27" xfId="0" applyFont="1" applyFill="1" applyBorder="1" applyAlignment="1">
      <alignment horizontal="center" vertical="center" wrapText="1"/>
    </xf>
    <xf numFmtId="169" fontId="37" fillId="12" borderId="14" xfId="0" applyFont="1" applyFill="1" applyBorder="1" applyAlignment="1">
      <alignment horizontal="center" vertical="center" wrapText="1"/>
    </xf>
    <xf numFmtId="169" fontId="37" fillId="12" borderId="28" xfId="0" applyFont="1" applyFill="1" applyBorder="1" applyAlignment="1">
      <alignment horizontal="center" vertical="center" wrapText="1"/>
    </xf>
    <xf numFmtId="169" fontId="41" fillId="0" borderId="68" xfId="0" applyFont="1" applyBorder="1" applyAlignment="1" applyProtection="1">
      <alignment horizontal="right" vertical="center"/>
    </xf>
    <xf numFmtId="169" fontId="41" fillId="0" borderId="0" xfId="0" applyFont="1" applyBorder="1" applyAlignment="1" applyProtection="1">
      <alignment horizontal="right" vertical="center"/>
    </xf>
    <xf numFmtId="169" fontId="41" fillId="0" borderId="0" xfId="0" applyFont="1" applyFill="1" applyBorder="1" applyAlignment="1" applyProtection="1">
      <alignment horizontal="right" vertical="center"/>
    </xf>
    <xf numFmtId="169" fontId="37" fillId="19" borderId="11" xfId="0" applyFont="1" applyFill="1" applyBorder="1" applyAlignment="1" applyProtection="1">
      <alignment horizontal="center" vertical="center"/>
    </xf>
    <xf numFmtId="169" fontId="37" fillId="19" borderId="90" xfId="0" applyFont="1" applyFill="1" applyBorder="1" applyAlignment="1" applyProtection="1">
      <alignment horizontal="center" vertical="center"/>
    </xf>
    <xf numFmtId="169" fontId="37" fillId="0" borderId="0" xfId="0" applyFont="1" applyFill="1" applyBorder="1" applyAlignment="1" applyProtection="1">
      <alignment horizontal="center" vertical="center"/>
    </xf>
    <xf numFmtId="169" fontId="37" fillId="19" borderId="28" xfId="0" applyFont="1" applyFill="1" applyBorder="1" applyAlignment="1" applyProtection="1">
      <alignment horizontal="right" vertical="center"/>
    </xf>
    <xf numFmtId="169" fontId="37" fillId="19" borderId="55" xfId="0" applyFont="1" applyFill="1" applyBorder="1" applyAlignment="1" applyProtection="1">
      <alignment horizontal="right" vertical="center"/>
    </xf>
    <xf numFmtId="169" fontId="37" fillId="0" borderId="0" xfId="0" applyFont="1" applyFill="1" applyBorder="1" applyAlignment="1" applyProtection="1">
      <alignment horizontal="right" vertical="center"/>
    </xf>
    <xf numFmtId="169" fontId="37" fillId="19" borderId="102" xfId="0" applyFont="1" applyFill="1" applyBorder="1" applyAlignment="1" applyProtection="1">
      <alignment horizontal="right" vertical="center"/>
    </xf>
    <xf numFmtId="169" fontId="37" fillId="19" borderId="40" xfId="0" applyFont="1" applyFill="1" applyBorder="1" applyAlignment="1" applyProtection="1">
      <alignment horizontal="right" vertical="center"/>
    </xf>
    <xf numFmtId="169"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69" fontId="37" fillId="19" borderId="174" xfId="0" applyFont="1" applyFill="1" applyBorder="1" applyAlignment="1" applyProtection="1">
      <alignment horizontal="center" vertical="center"/>
    </xf>
    <xf numFmtId="169" fontId="37" fillId="19" borderId="44" xfId="0" applyFont="1" applyFill="1" applyBorder="1" applyAlignment="1" applyProtection="1">
      <alignment horizontal="center" vertical="center"/>
    </xf>
    <xf numFmtId="169" fontId="37" fillId="19" borderId="83" xfId="0" applyFont="1" applyFill="1" applyBorder="1" applyAlignment="1" applyProtection="1">
      <alignment horizontal="center" vertical="center"/>
    </xf>
    <xf numFmtId="169" fontId="37" fillId="19" borderId="46" xfId="0" applyFont="1" applyFill="1" applyBorder="1" applyAlignment="1" applyProtection="1">
      <alignment horizontal="center" vertical="center"/>
    </xf>
    <xf numFmtId="169" fontId="37" fillId="19" borderId="99" xfId="0" applyFont="1" applyFill="1" applyBorder="1" applyAlignment="1" applyProtection="1">
      <alignment horizontal="center" vertical="center"/>
    </xf>
    <xf numFmtId="169" fontId="37" fillId="19" borderId="98"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6" fillId="12" borderId="71" xfId="0" applyNumberFormat="1" applyFont="1" applyFill="1" applyBorder="1" applyAlignment="1" applyProtection="1">
      <alignment horizontal="center" vertical="center"/>
    </xf>
    <xf numFmtId="0" fontId="36" fillId="12" borderId="72" xfId="0" applyNumberFormat="1" applyFont="1" applyFill="1" applyBorder="1" applyAlignment="1" applyProtection="1">
      <alignment horizontal="center" vertical="center"/>
    </xf>
    <xf numFmtId="0" fontId="36" fillId="12" borderId="73"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8"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7" fillId="12" borderId="60" xfId="0" applyNumberFormat="1" applyFont="1" applyFill="1" applyBorder="1" applyAlignment="1" applyProtection="1">
      <alignment horizontal="center" vertical="center" wrapText="1"/>
    </xf>
    <xf numFmtId="0" fontId="37" fillId="12" borderId="70" xfId="0" applyNumberFormat="1" applyFont="1" applyFill="1" applyBorder="1" applyAlignment="1" applyProtection="1">
      <alignment horizontal="center" vertical="center" wrapText="1"/>
    </xf>
    <xf numFmtId="0" fontId="37" fillId="12" borderId="7" xfId="0" applyNumberFormat="1" applyFont="1" applyFill="1" applyBorder="1" applyAlignment="1" applyProtection="1">
      <alignment horizontal="center" vertical="center" wrapText="1"/>
    </xf>
    <xf numFmtId="0" fontId="37" fillId="12" borderId="38" xfId="0" applyNumberFormat="1" applyFont="1" applyFill="1" applyBorder="1" applyAlignment="1" applyProtection="1">
      <alignment horizontal="center" vertical="center" wrapText="1"/>
    </xf>
    <xf numFmtId="0" fontId="37" fillId="12" borderId="61"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0" fontId="37" fillId="12" borderId="65" xfId="0" applyNumberFormat="1" applyFont="1" applyFill="1" applyBorder="1" applyAlignment="1" applyProtection="1">
      <alignment horizontal="center" vertical="center" wrapText="1"/>
    </xf>
    <xf numFmtId="0" fontId="43" fillId="12" borderId="78"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right" vertical="center"/>
    </xf>
    <xf numFmtId="2" fontId="41" fillId="21" borderId="12" xfId="0" applyNumberFormat="1" applyFont="1" applyFill="1" applyBorder="1" applyAlignment="1" applyProtection="1">
      <alignment horizontal="right" vertical="center"/>
    </xf>
    <xf numFmtId="2" fontId="41" fillId="21" borderId="57" xfId="0" applyNumberFormat="1" applyFont="1" applyFill="1" applyBorder="1" applyAlignment="1" applyProtection="1">
      <alignment horizontal="right" vertical="center"/>
    </xf>
    <xf numFmtId="2" fontId="41" fillId="21" borderId="45"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right" vertical="center"/>
    </xf>
    <xf numFmtId="2" fontId="41" fillId="21" borderId="33" xfId="0" applyNumberFormat="1" applyFont="1" applyFill="1" applyBorder="1" applyAlignment="1" applyProtection="1">
      <alignment horizontal="right" vertical="center"/>
    </xf>
    <xf numFmtId="0" fontId="37" fillId="12" borderId="78" xfId="0" applyNumberFormat="1" applyFont="1" applyFill="1" applyBorder="1" applyAlignment="1" applyProtection="1">
      <alignment horizontal="center" vertical="center" wrapText="1"/>
    </xf>
    <xf numFmtId="169" fontId="31" fillId="12" borderId="48" xfId="0" applyFont="1" applyFill="1" applyBorder="1" applyAlignment="1" applyProtection="1">
      <alignment horizontal="center" vertical="center" wrapText="1"/>
    </xf>
    <xf numFmtId="169" fontId="31" fillId="12" borderId="62" xfId="0" applyFont="1" applyFill="1" applyBorder="1" applyAlignment="1" applyProtection="1">
      <alignment horizontal="center" vertical="center" wrapText="1"/>
    </xf>
    <xf numFmtId="169" fontId="31"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2" fontId="41" fillId="21" borderId="81" xfId="0" applyNumberFormat="1" applyFont="1" applyFill="1" applyBorder="1" applyAlignment="1" applyProtection="1">
      <alignment horizontal="right" vertical="center"/>
    </xf>
    <xf numFmtId="2" fontId="41" fillId="21" borderId="21" xfId="0" applyNumberFormat="1" applyFont="1" applyFill="1" applyBorder="1" applyAlignment="1" applyProtection="1">
      <alignment horizontal="right" vertical="center"/>
    </xf>
    <xf numFmtId="2" fontId="41" fillId="21" borderId="85" xfId="0" applyNumberFormat="1" applyFont="1" applyFill="1" applyBorder="1" applyAlignment="1" applyProtection="1">
      <alignment horizontal="right" vertical="center"/>
    </xf>
    <xf numFmtId="2" fontId="41" fillId="21" borderId="29" xfId="0" applyNumberFormat="1" applyFont="1" applyFill="1" applyBorder="1" applyAlignment="1" applyProtection="1">
      <alignment horizontal="right" vertical="center"/>
    </xf>
    <xf numFmtId="2" fontId="41" fillId="21" borderId="68" xfId="0" applyNumberFormat="1" applyFont="1" applyFill="1" applyBorder="1" applyAlignment="1" applyProtection="1">
      <alignment horizontal="right" vertical="center"/>
    </xf>
    <xf numFmtId="2" fontId="41" fillId="21" borderId="69" xfId="0" applyNumberFormat="1" applyFont="1" applyFill="1" applyBorder="1" applyAlignment="1" applyProtection="1">
      <alignment horizontal="right" vertical="center"/>
    </xf>
    <xf numFmtId="2" fontId="37" fillId="21" borderId="57" xfId="0" applyNumberFormat="1" applyFont="1" applyFill="1" applyBorder="1" applyAlignment="1" applyProtection="1">
      <alignment horizontal="right" vertical="center" wrapText="1"/>
    </xf>
    <xf numFmtId="2" fontId="37" fillId="21" borderId="0" xfId="0" applyNumberFormat="1" applyFont="1" applyFill="1" applyBorder="1" applyAlignment="1" applyProtection="1">
      <alignment horizontal="right" vertical="center" wrapText="1"/>
    </xf>
    <xf numFmtId="2" fontId="37" fillId="21" borderId="12" xfId="0" applyNumberFormat="1" applyFont="1" applyFill="1" applyBorder="1" applyAlignment="1" applyProtection="1">
      <alignment horizontal="right" vertical="center" wrapText="1"/>
    </xf>
    <xf numFmtId="2" fontId="41" fillId="21" borderId="80" xfId="0" applyNumberFormat="1" applyFont="1" applyFill="1" applyBorder="1" applyAlignment="1" applyProtection="1">
      <alignment horizontal="right" vertical="center"/>
    </xf>
    <xf numFmtId="2" fontId="41" fillId="21" borderId="82" xfId="0" applyNumberFormat="1" applyFont="1" applyFill="1" applyBorder="1" applyAlignment="1" applyProtection="1">
      <alignment horizontal="right" vertical="center"/>
    </xf>
    <xf numFmtId="2" fontId="41" fillId="21" borderId="84" xfId="0" applyNumberFormat="1" applyFont="1" applyFill="1" applyBorder="1" applyAlignment="1" applyProtection="1">
      <alignment horizontal="right" vertical="center"/>
    </xf>
  </cellXfs>
  <cellStyles count="152">
    <cellStyle name="AggCels_T(2)" xfId="9"/>
    <cellStyle name="Background table" xfId="10"/>
    <cellStyle name="Bad 3" xfId="11"/>
    <cellStyle name="Bron" xfId="12"/>
    <cellStyle name="Calc cel" xfId="13"/>
    <cellStyle name="Calc cel 2" xfId="14"/>
    <cellStyle name="Calc cel 3" xfId="15"/>
    <cellStyle name="Comma 2" xfId="16"/>
    <cellStyle name="Cover" xfId="17"/>
    <cellStyle name="Currency 0,0" xfId="18"/>
    <cellStyle name="Dezimal [0]_Input" xfId="19"/>
    <cellStyle name="Dezimal_Input" xfId="20"/>
    <cellStyle name="Euro" xfId="21"/>
    <cellStyle name="Hyperlink" xfId="151" builtinId="8"/>
    <cellStyle name="Hyperlink 2" xfId="22"/>
    <cellStyle name="Input cel" xfId="23"/>
    <cellStyle name="Input cel 2" xfId="24"/>
    <cellStyle name="Input cel 3" xfId="25"/>
    <cellStyle name="Input cel new" xfId="26"/>
    <cellStyle name="Input cel new 2" xfId="27"/>
    <cellStyle name="Input cel new 3" xfId="28"/>
    <cellStyle name="Komma" xfId="55" builtinId="3"/>
    <cellStyle name="Komma 2" xfId="29"/>
    <cellStyle name="Kop 1" xfId="2" builtinId="16"/>
    <cellStyle name="Kop 3" xfId="3" builtinId="18"/>
    <cellStyle name="Kop 4" xfId="4" builtinId="19"/>
    <cellStyle name="Menu" xfId="30"/>
    <cellStyle name="Milliers [0]_Oilques" xfId="31"/>
    <cellStyle name="Milliers_Oilques" xfId="32"/>
    <cellStyle name="Monétaire [0]_Oilques" xfId="33"/>
    <cellStyle name="Monétaire_Oilques" xfId="34"/>
    <cellStyle name="Normal 2" xfId="6"/>
    <cellStyle name="Normal 2 2" xfId="35"/>
    <cellStyle name="Normal 3" xfId="7"/>
    <cellStyle name="Normal 3 2" xfId="36"/>
    <cellStyle name="Normal 3 2 2" xfId="56"/>
    <cellStyle name="Normal 3 3" xfId="57"/>
    <cellStyle name="Normal 4" xfId="37"/>
    <cellStyle name="Normal 4 2" xfId="58"/>
    <cellStyle name="Normal 5" xfId="38"/>
    <cellStyle name="Normal 5 10" xfId="59"/>
    <cellStyle name="Normal 5 10 2" xfId="60"/>
    <cellStyle name="Normal 5 11" xfId="61"/>
    <cellStyle name="Normal 5 11 2" xfId="62"/>
    <cellStyle name="Normal 5 12" xfId="63"/>
    <cellStyle name="Normal 5 12 2" xfId="64"/>
    <cellStyle name="Normal 5 13" xfId="65"/>
    <cellStyle name="Normal 5 13 2" xfId="66"/>
    <cellStyle name="Normal 5 14" xfId="67"/>
    <cellStyle name="Normal 5 14 2" xfId="68"/>
    <cellStyle name="Normal 5 15" xfId="69"/>
    <cellStyle name="Normal 5 15 2" xfId="70"/>
    <cellStyle name="Normal 5 16" xfId="71"/>
    <cellStyle name="Normal 5 16 2" xfId="72"/>
    <cellStyle name="Normal 5 17" xfId="73"/>
    <cellStyle name="Normal 5 17 2" xfId="74"/>
    <cellStyle name="Normal 5 18" xfId="75"/>
    <cellStyle name="Normal 5 18 2" xfId="76"/>
    <cellStyle name="Normal 5 19" xfId="77"/>
    <cellStyle name="Normal 5 19 2" xfId="78"/>
    <cellStyle name="Normal 5 2" xfId="79"/>
    <cellStyle name="Normal 5 2 2" xfId="80"/>
    <cellStyle name="Normal 5 20" xfId="81"/>
    <cellStyle name="Normal 5 20 2" xfId="82"/>
    <cellStyle name="Normal 5 21" xfId="83"/>
    <cellStyle name="Normal 5 21 2" xfId="84"/>
    <cellStyle name="Normal 5 22" xfId="85"/>
    <cellStyle name="Normal 5 22 2" xfId="86"/>
    <cellStyle name="Normal 5 23" xfId="87"/>
    <cellStyle name="Normal 5 3" xfId="88"/>
    <cellStyle name="Normal 5 3 2" xfId="89"/>
    <cellStyle name="Normal 5 4" xfId="90"/>
    <cellStyle name="Normal 5 4 2" xfId="91"/>
    <cellStyle name="Normal 5 5" xfId="92"/>
    <cellStyle name="Normal 5 5 2" xfId="93"/>
    <cellStyle name="Normal 5 6" xfId="94"/>
    <cellStyle name="Normal 5 6 2" xfId="95"/>
    <cellStyle name="Normal 5 7" xfId="96"/>
    <cellStyle name="Normal 5 7 2" xfId="97"/>
    <cellStyle name="Normal 5 8" xfId="98"/>
    <cellStyle name="Normal 5 8 2" xfId="99"/>
    <cellStyle name="Normal 5 9" xfId="100"/>
    <cellStyle name="Normal 5 9 2" xfId="101"/>
    <cellStyle name="Normal 5_INTERIM BEREKENINGEN Landbouw" xfId="102"/>
    <cellStyle name="Normal 6" xfId="39"/>
    <cellStyle name="Normal 7" xfId="5"/>
    <cellStyle name="Normal GHG Numbers (0.00)" xfId="40"/>
    <cellStyle name="Normal_Sheet1" xfId="8"/>
    <cellStyle name="Note 2" xfId="41"/>
    <cellStyle name="Percent 2" xfId="42"/>
    <cellStyle name="Percent 2 2" xfId="43"/>
    <cellStyle name="Percent 3" xfId="44"/>
    <cellStyle name="Percent 4" xfId="45"/>
    <cellStyle name="Procent" xfId="54" builtinId="5"/>
    <cellStyle name="Procent 2" xfId="46"/>
    <cellStyle name="Standaard" xfId="0" builtinId="0"/>
    <cellStyle name="Standaard 10" xfId="103"/>
    <cellStyle name="Standaard 11" xfId="104"/>
    <cellStyle name="Standaard 12" xfId="105"/>
    <cellStyle name="Standaard 12 2" xfId="106"/>
    <cellStyle name="Standaard 13" xfId="107"/>
    <cellStyle name="Standaard 13 2" xfId="108"/>
    <cellStyle name="Standaard 14" xfId="109"/>
    <cellStyle name="Standaard 14 2" xfId="110"/>
    <cellStyle name="Standaard 15" xfId="111"/>
    <cellStyle name="Standaard 15 2" xfId="112"/>
    <cellStyle name="Standaard 16" xfId="113"/>
    <cellStyle name="Standaard 16 2" xfId="114"/>
    <cellStyle name="Standaard 17" xfId="115"/>
    <cellStyle name="Standaard 17 2" xfId="116"/>
    <cellStyle name="Standaard 18" xfId="117"/>
    <cellStyle name="Standaard 18 2" xfId="118"/>
    <cellStyle name="Standaard 19" xfId="119"/>
    <cellStyle name="Standaard 19 2" xfId="120"/>
    <cellStyle name="Standaard 2" xfId="121"/>
    <cellStyle name="Standaard 2 2" xfId="122"/>
    <cellStyle name="Standaard 2 3" xfId="123"/>
    <cellStyle name="Standaard 2 4" xfId="124"/>
    <cellStyle name="Standaard 20" xfId="125"/>
    <cellStyle name="Standaard 20 2" xfId="126"/>
    <cellStyle name="Standaard 21" xfId="127"/>
    <cellStyle name="Standaard 21 2" xfId="128"/>
    <cellStyle name="Standaard 22" xfId="129"/>
    <cellStyle name="Standaard 22 2" xfId="130"/>
    <cellStyle name="Standaard 23" xfId="131"/>
    <cellStyle name="Standaard 23 2" xfId="132"/>
    <cellStyle name="Standaard 24" xfId="133"/>
    <cellStyle name="Standaard 24 2" xfId="134"/>
    <cellStyle name="Standaard 24 2 2" xfId="135"/>
    <cellStyle name="Standaard 24 3" xfId="136"/>
    <cellStyle name="Standaard 25" xfId="137"/>
    <cellStyle name="Standaard 25 2" xfId="138"/>
    <cellStyle name="Standaard 26" xfId="139"/>
    <cellStyle name="Standaard 26 2" xfId="140"/>
    <cellStyle name="Standaard 3" xfId="141"/>
    <cellStyle name="Standaard 4" xfId="142"/>
    <cellStyle name="Standaard 4 2" xfId="143"/>
    <cellStyle name="Standaard 5" xfId="144"/>
    <cellStyle name="Standaard 6" xfId="145"/>
    <cellStyle name="Standaard 7" xfId="146"/>
    <cellStyle name="Standaard 7 2" xfId="147"/>
    <cellStyle name="Standaard 8" xfId="148"/>
    <cellStyle name="Standaard 8 2" xfId="149"/>
    <cellStyle name="Standaard 9" xfId="150"/>
    <cellStyle name="Standard_Aggregate CO2 balance" xfId="47"/>
    <cellStyle name="Tabeltitel" xfId="48"/>
    <cellStyle name="Titel" xfId="1"/>
    <cellStyle name="W?rung [0]_Input" xfId="49"/>
    <cellStyle name="W?rung_Input" xfId="50"/>
    <cellStyle name="Währung [0]_Input" xfId="51"/>
    <cellStyle name="Währung_Input" xfId="52"/>
    <cellStyle name="Year" xfId="53"/>
  </cellStyles>
  <dxfs count="0"/>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5686425</xdr:colOff>
      <xdr:row>1</xdr:row>
      <xdr:rowOff>38100</xdr:rowOff>
    </xdr:from>
    <xdr:to>
      <xdr:col>2</xdr:col>
      <xdr:colOff>7707736</xdr:colOff>
      <xdr:row>3</xdr:row>
      <xdr:rowOff>162573</xdr:rowOff>
    </xdr:to>
    <xdr:pic>
      <xdr:nvPicPr>
        <xdr:cNvPr id="3" name="Picture 2"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4525625" y="238125"/>
          <a:ext cx="2021311" cy="572148"/>
        </a:xfrm>
        <a:prstGeom prst="rect">
          <a:avLst/>
        </a:prstGeom>
        <a:noFill/>
      </xdr:spPr>
    </xdr:pic>
    <xdr:clientData/>
  </xdr:twoCellAnchor>
  <xdr:twoCellAnchor editAs="oneCell">
    <xdr:from>
      <xdr:col>2</xdr:col>
      <xdr:colOff>8029574</xdr:colOff>
      <xdr:row>1</xdr:row>
      <xdr:rowOff>47625</xdr:rowOff>
    </xdr:from>
    <xdr:to>
      <xdr:col>2</xdr:col>
      <xdr:colOff>9143999</xdr:colOff>
      <xdr:row>3</xdr:row>
      <xdr:rowOff>161925</xdr:rowOff>
    </xdr:to>
    <xdr:pic>
      <xdr:nvPicPr>
        <xdr:cNvPr id="4" name="Picture 3"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68774" y="247650"/>
          <a:ext cx="1114425" cy="5619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717253</xdr:colOff>
      <xdr:row>22</xdr:row>
      <xdr:rowOff>149677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5726536</xdr:colOff>
      <xdr:row>1</xdr:row>
      <xdr:rowOff>648348</xdr:rowOff>
    </xdr:to>
    <xdr:pic>
      <xdr:nvPicPr>
        <xdr:cNvPr id="5" name="Picture 4"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7162799</xdr:colOff>
      <xdr:row>1</xdr:row>
      <xdr:rowOff>647700</xdr:rowOff>
    </xdr:to>
    <xdr:pic>
      <xdr:nvPicPr>
        <xdr:cNvPr id="6" name="Picture 5"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1364086</xdr:colOff>
      <xdr:row>0</xdr:row>
      <xdr:rowOff>610248</xdr:rowOff>
    </xdr:to>
    <xdr:pic>
      <xdr:nvPicPr>
        <xdr:cNvPr id="2" name="Picture 1"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gje/Projecten/Klimaatneutraal%202020%20-%20Burgemeestersconvenant/Klimaatneutraal%202020/broeikasgasinventaris/BKGI%202011/BKGI%20versies%202011/BKGI%202011%20(laatste%20versie)%20omzetting%20naar%20versie%202014%20(ikv%20Burgemeestersconvena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blad gegevens gemeente"/>
      <sheetName val="Basis"/>
      <sheetName val="overzicht gegevens"/>
      <sheetName val="Toelichting link naar tool LNE"/>
      <sheetName val="tool LNE eigen gebouwen"/>
      <sheetName val="tool LNE eigen OV"/>
      <sheetName val="tool LNE eigen vloot"/>
      <sheetName val="berekening CO2"/>
      <sheetName val="berekening CH4"/>
      <sheetName val="berekening N2O"/>
      <sheetName val="TOTAAL"/>
      <sheetName val="totaal per ent. &amp; cat. uitstoot"/>
      <sheetName val="totaal organisatie"/>
      <sheetName val="GRAF. TOTAAL"/>
      <sheetName val="GRAF. KENGETALLEN"/>
      <sheetName val="GRAF. STOOKINSTAL."/>
      <sheetName val="GRAF. ELEKTR."/>
      <sheetName val="GRAF. VERPL."/>
      <sheetName val="GRAF. DIEREN"/>
      <sheetName val="GRAF. BIOMASSA"/>
      <sheetName val="GRAF. HE"/>
      <sheetName val="GRAF. FINANCIEEL"/>
    </sheetNames>
    <sheetDataSet>
      <sheetData sheetId="0"/>
      <sheetData sheetId="1"/>
      <sheetData sheetId="2">
        <row r="75">
          <cell r="DJ75">
            <v>1015888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omments" Target="../comments7.xml"/></Relationships>
</file>

<file path=xl/worksheets/_rels/sheet28.xml.rels><?xml version="1.0" encoding="UTF-8" standalone="yes"?>
<Relationships xmlns="http://schemas.openxmlformats.org/package/2006/relationships"><Relationship Id="rId8" Type="http://schemas.openxmlformats.org/officeDocument/2006/relationships/hyperlink" Target="http://unfccc.int/national_reports/annex_i_ghg_inventories/national_inventories_submissions/items/5888.php" TargetMode="External"/><Relationship Id="rId3" Type="http://schemas.openxmlformats.org/officeDocument/2006/relationships/hyperlink" Target="mailto:toon.lenaerts@infrax.be" TargetMode="External"/><Relationship Id="rId7" Type="http://schemas.openxmlformats.org/officeDocument/2006/relationships/hyperlink" Target="mailto:kristien.aernouts@vito.be" TargetMode="External"/><Relationship Id="rId2" Type="http://schemas.openxmlformats.org/officeDocument/2006/relationships/hyperlink" Target="mailto:kristien.aernouts@vito.be" TargetMode="External"/><Relationship Id="rId1" Type="http://schemas.openxmlformats.org/officeDocument/2006/relationships/hyperlink" Target="mailto:Sander.VanHerzeele@eandis.be" TargetMode="External"/><Relationship Id="rId6" Type="http://schemas.openxmlformats.org/officeDocument/2006/relationships/hyperlink" Target="mailto:dana.borremans@mow.vlaanderen.be" TargetMode="External"/><Relationship Id="rId5" Type="http://schemas.openxmlformats.org/officeDocument/2006/relationships/hyperlink" Target="http://www4.vlaanderen.be/dar/svr/Pages/2011-01-24-studiedag-projecties.aspx" TargetMode="External"/><Relationship Id="rId10" Type="http://schemas.openxmlformats.org/officeDocument/2006/relationships/printerSettings" Target="../printerSettings/printerSettings23.bin"/><Relationship Id="rId4" Type="http://schemas.openxmlformats.org/officeDocument/2006/relationships/hyperlink" Target="mailto:tine.tanghe@vea.be" TargetMode="External"/><Relationship Id="rId9" Type="http://schemas.openxmlformats.org/officeDocument/2006/relationships/hyperlink" Target="http://www.verkeerscentrum.be/extern/VlaamseVerkeersmodellen/ProvincialeVerkeersmodellen/Versie3.6/Opbouw_MM_versie3.6.1.pdf"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43"/>
  <sheetViews>
    <sheetView showGridLines="0"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472" customFormat="1" ht="20.25" customHeight="1">
      <c r="A2" s="484" t="s">
        <v>521</v>
      </c>
      <c r="B2" s="485"/>
      <c r="C2" s="486"/>
    </row>
    <row r="3" spans="1:7" s="22" customFormat="1" ht="15" customHeight="1">
      <c r="A3" s="108"/>
      <c r="B3" s="89"/>
      <c r="C3" s="109"/>
    </row>
    <row r="4" spans="1:7" s="22" customFormat="1" ht="15.75" customHeight="1" thickBot="1">
      <c r="A4" s="120" t="s">
        <v>768</v>
      </c>
      <c r="B4" s="121"/>
      <c r="C4" s="122"/>
    </row>
    <row r="5" spans="1:7" s="479" customFormat="1" ht="15.75" customHeight="1">
      <c r="A5" s="476" t="s">
        <v>0</v>
      </c>
      <c r="B5" s="477"/>
      <c r="C5" s="478"/>
    </row>
    <row r="6" spans="1:7" s="479" customFormat="1" ht="15" customHeight="1">
      <c r="A6" s="480" t="str">
        <f>txtNIS</f>
        <v>11029</v>
      </c>
      <c r="B6" s="481"/>
      <c r="C6" s="482"/>
    </row>
    <row r="7" spans="1:7" s="479" customFormat="1" ht="15.75" customHeight="1">
      <c r="A7" s="483" t="str">
        <f>txtMunicipality</f>
        <v>MORTSEL</v>
      </c>
      <c r="B7" s="481"/>
      <c r="C7" s="482"/>
    </row>
    <row r="8" spans="1:7" ht="15.75" thickBot="1">
      <c r="A8" s="58"/>
      <c r="B8" s="123"/>
      <c r="C8" s="124"/>
    </row>
    <row r="9" spans="1:7" s="472" customFormat="1" ht="15.75" thickBot="1">
      <c r="A9" s="498" t="s">
        <v>393</v>
      </c>
      <c r="B9" s="501"/>
      <c r="C9" s="502"/>
    </row>
    <row r="10" spans="1:7" s="26" customFormat="1" ht="57.75" customHeight="1" thickBot="1">
      <c r="A10" s="970" t="s">
        <v>647</v>
      </c>
      <c r="B10" s="971"/>
      <c r="C10" s="972"/>
    </row>
    <row r="11" spans="1:7" s="473" customFormat="1" ht="15.75" thickBot="1">
      <c r="A11" s="498" t="s">
        <v>396</v>
      </c>
      <c r="B11" s="501"/>
      <c r="C11" s="502"/>
      <c r="G11" s="474"/>
    </row>
    <row r="12" spans="1:7">
      <c r="A12" s="57"/>
      <c r="B12" s="56"/>
      <c r="C12" s="111"/>
    </row>
    <row r="13" spans="1:7" s="473" customFormat="1">
      <c r="A13" s="946" t="s">
        <v>722</v>
      </c>
      <c r="B13" s="470"/>
      <c r="C13" s="471"/>
      <c r="D13" s="472"/>
      <c r="E13" s="472"/>
      <c r="G13" s="474"/>
    </row>
    <row r="14" spans="1:7" s="473" customFormat="1">
      <c r="A14" s="475"/>
      <c r="B14" s="470"/>
      <c r="C14" s="471"/>
      <c r="D14" s="472"/>
      <c r="E14" s="472"/>
      <c r="G14" s="474"/>
    </row>
    <row r="15" spans="1:7" s="26" customFormat="1" ht="15.75" thickBot="1">
      <c r="A15" s="112"/>
      <c r="B15" s="56"/>
      <c r="C15" s="111"/>
      <c r="D15"/>
      <c r="E15"/>
      <c r="G15" s="83"/>
    </row>
    <row r="16" spans="1:7" s="472" customFormat="1" ht="32.25" customHeight="1" thickBot="1">
      <c r="A16" s="498" t="s">
        <v>397</v>
      </c>
      <c r="B16" s="973" t="s">
        <v>621</v>
      </c>
      <c r="C16" s="974"/>
    </row>
    <row r="17" spans="1:3" s="26" customFormat="1" ht="15.75">
      <c r="A17" s="113"/>
      <c r="B17" s="85"/>
      <c r="C17" s="114"/>
    </row>
    <row r="18" spans="1:3">
      <c r="A18" s="110" t="s">
        <v>400</v>
      </c>
      <c r="B18" s="84" t="s">
        <v>412</v>
      </c>
      <c r="C18" s="115" t="s">
        <v>411</v>
      </c>
    </row>
    <row r="19" spans="1:3" s="405" customFormat="1">
      <c r="A19" s="463" t="s">
        <v>398</v>
      </c>
      <c r="B19" s="464" t="s">
        <v>416</v>
      </c>
      <c r="C19" s="465" t="s">
        <v>619</v>
      </c>
    </row>
    <row r="20" spans="1:3" s="405" customFormat="1">
      <c r="A20" s="466"/>
      <c r="B20" s="391"/>
      <c r="C20" s="467"/>
    </row>
    <row r="21" spans="1:3" s="405" customFormat="1">
      <c r="A21" s="468" t="s">
        <v>399</v>
      </c>
      <c r="B21" s="464" t="s">
        <v>616</v>
      </c>
      <c r="C21" s="465" t="s">
        <v>620</v>
      </c>
    </row>
    <row r="22" spans="1:3" s="405" customFormat="1">
      <c r="A22" s="469"/>
      <c r="B22" s="391"/>
      <c r="C22" s="467"/>
    </row>
    <row r="23" spans="1:3" s="405" customFormat="1" ht="30">
      <c r="A23" s="463" t="s">
        <v>516</v>
      </c>
      <c r="B23" s="545" t="s">
        <v>520</v>
      </c>
      <c r="C23" s="465" t="s">
        <v>617</v>
      </c>
    </row>
    <row r="24" spans="1:3" s="405" customFormat="1">
      <c r="A24" s="469"/>
      <c r="B24" s="391"/>
      <c r="C24" s="467"/>
    </row>
    <row r="25" spans="1:3" s="405" customFormat="1">
      <c r="A25" s="463" t="s">
        <v>518</v>
      </c>
      <c r="B25" s="464" t="s">
        <v>517</v>
      </c>
      <c r="C25" s="465" t="s">
        <v>618</v>
      </c>
    </row>
    <row r="26" spans="1:3" s="405" customFormat="1">
      <c r="A26" s="469"/>
      <c r="B26" s="391"/>
      <c r="C26" s="467"/>
    </row>
    <row r="27" spans="1:3" s="405" customFormat="1">
      <c r="A27" s="463" t="s">
        <v>473</v>
      </c>
      <c r="B27" s="464" t="s">
        <v>515</v>
      </c>
      <c r="C27" s="465"/>
    </row>
    <row r="28" spans="1:3" s="405" customFormat="1">
      <c r="A28" s="469"/>
      <c r="B28" s="391" t="s">
        <v>681</v>
      </c>
      <c r="C28" s="467"/>
    </row>
    <row r="29" spans="1:3" ht="15.75" thickBot="1">
      <c r="A29" s="57"/>
      <c r="B29" s="56"/>
      <c r="C29" s="111"/>
    </row>
    <row r="30" spans="1:3" s="472" customFormat="1" ht="15.75" thickBot="1">
      <c r="A30" s="498" t="s">
        <v>409</v>
      </c>
      <c r="B30" s="499"/>
      <c r="C30" s="500"/>
    </row>
    <row r="31" spans="1:3" s="26" customFormat="1" ht="15.75">
      <c r="A31" s="113"/>
      <c r="B31" s="86"/>
      <c r="C31" s="117"/>
    </row>
    <row r="32" spans="1:3" s="26" customFormat="1">
      <c r="A32" s="118" t="s">
        <v>410</v>
      </c>
      <c r="B32" s="88" t="s">
        <v>412</v>
      </c>
      <c r="C32" s="119"/>
    </row>
    <row r="33" spans="1:3" s="490" customFormat="1">
      <c r="A33" s="487" t="s">
        <v>401</v>
      </c>
      <c r="B33" s="488" t="s">
        <v>413</v>
      </c>
      <c r="C33" s="489"/>
    </row>
    <row r="34" spans="1:3" s="490" customFormat="1">
      <c r="A34" s="491" t="s">
        <v>402</v>
      </c>
      <c r="B34" s="492" t="s">
        <v>403</v>
      </c>
      <c r="C34" s="493"/>
    </row>
    <row r="35" spans="1:3" s="490" customFormat="1">
      <c r="A35" s="494" t="s">
        <v>404</v>
      </c>
      <c r="B35" s="492" t="s">
        <v>405</v>
      </c>
      <c r="C35" s="493"/>
    </row>
    <row r="36" spans="1:3" s="490" customFormat="1">
      <c r="A36" s="495" t="s">
        <v>406</v>
      </c>
      <c r="B36" s="492" t="s">
        <v>407</v>
      </c>
      <c r="C36" s="493"/>
    </row>
    <row r="37" spans="1:3" s="490" customFormat="1" ht="30">
      <c r="A37" s="529" t="s">
        <v>408</v>
      </c>
      <c r="B37" s="492" t="s">
        <v>556</v>
      </c>
      <c r="C37" s="493"/>
    </row>
    <row r="38" spans="1:3" ht="15.75" thickBot="1">
      <c r="A38" s="531"/>
      <c r="B38" s="532"/>
      <c r="C38" s="533"/>
    </row>
    <row r="39" spans="1:3" s="472" customFormat="1" ht="42.75" customHeight="1" thickBot="1">
      <c r="A39" s="975" t="s">
        <v>669</v>
      </c>
      <c r="B39" s="976"/>
      <c r="C39" s="535" t="s">
        <v>685</v>
      </c>
    </row>
    <row r="40" spans="1:3">
      <c r="A40" s="56"/>
      <c r="B40" s="56"/>
      <c r="C40" s="111"/>
    </row>
    <row r="41" spans="1:3">
      <c r="A41" s="534" t="s">
        <v>667</v>
      </c>
      <c r="B41" s="794" t="s">
        <v>719</v>
      </c>
      <c r="C41" s="795"/>
    </row>
    <row r="42" spans="1:3">
      <c r="A42" s="534" t="s">
        <v>668</v>
      </c>
      <c r="B42" s="794" t="s">
        <v>719</v>
      </c>
      <c r="C42" s="795"/>
    </row>
    <row r="43" spans="1:3" s="490" customFormat="1" ht="15.75" thickBot="1">
      <c r="A43" s="530"/>
      <c r="B43" s="496"/>
      <c r="C43" s="497"/>
    </row>
  </sheetData>
  <mergeCells count="3">
    <mergeCell ref="A10:C10"/>
    <mergeCell ref="B16:C16"/>
    <mergeCell ref="A39:B39"/>
  </mergeCells>
  <hyperlinks>
    <hyperlink ref="A19" location="'OUTPUT--&gt;'!A1" display="OUTPUT--&gt;"/>
    <hyperlink ref="A21" location="'INPUT--&gt;'!A1" display="'INPUT--&gt;"/>
    <hyperlink ref="A23" location="'DATA--&gt;'!A1" display="DATA--&gt;"/>
    <hyperlink ref="A27" location="'BRONNEN --&gt;'!A1" display="BRONNEN--&gt;"/>
    <hyperlink ref="A25" location="'BEREKENINGEN PER SECTOR --&gt;'!A1" display="BEREKENINGEN PER SECTOR --&gt;"/>
    <hyperlink ref="A41" location="'Nulmeting 2011'!A1" display="Nulmeting 2011"/>
    <hyperlink ref="A42" location="data!A1" display="data "/>
    <hyperlink ref="A13"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2"/>
  <sheetViews>
    <sheetView showGridLines="0" workbookViewId="0">
      <selection activeCell="F35" sqref="F35"/>
    </sheetView>
  </sheetViews>
  <sheetFormatPr defaultRowHeight="15"/>
  <cols>
    <col min="1" max="1" width="28.42578125" customWidth="1"/>
    <col min="2" max="2" width="15" customWidth="1"/>
    <col min="3" max="3" width="31.5703125" customWidth="1"/>
    <col min="4" max="4" width="28.85546875" customWidth="1"/>
    <col min="5" max="5" width="31" customWidth="1"/>
    <col min="7" max="7" width="12" bestFit="1" customWidth="1"/>
  </cols>
  <sheetData>
    <row r="1" spans="1:5" ht="15.75" thickBot="1">
      <c r="A1" s="758" t="s">
        <v>698</v>
      </c>
      <c r="B1" s="759"/>
      <c r="C1" s="759"/>
      <c r="D1" s="759"/>
      <c r="E1" s="760"/>
    </row>
    <row r="2" spans="1:5">
      <c r="A2" s="771" t="s">
        <v>434</v>
      </c>
      <c r="B2" s="776" t="s">
        <v>614</v>
      </c>
      <c r="C2" s="772"/>
      <c r="D2" s="772"/>
      <c r="E2" s="773"/>
    </row>
    <row r="3" spans="1:5">
      <c r="A3" s="774"/>
      <c r="B3" s="775"/>
      <c r="C3" s="763"/>
      <c r="D3" s="763"/>
      <c r="E3" s="764"/>
    </row>
    <row r="4" spans="1:5" s="382" customFormat="1" ht="45">
      <c r="A4" s="762" t="s">
        <v>702</v>
      </c>
      <c r="B4" s="770" t="s">
        <v>691</v>
      </c>
      <c r="C4" s="791" t="s">
        <v>713</v>
      </c>
      <c r="D4" s="792" t="s">
        <v>714</v>
      </c>
      <c r="E4" s="793" t="s">
        <v>715</v>
      </c>
    </row>
    <row r="5" spans="1:5">
      <c r="A5" s="765" t="s">
        <v>692</v>
      </c>
      <c r="B5" s="757" t="s">
        <v>693</v>
      </c>
      <c r="C5" s="788">
        <v>3.678273E-2</v>
      </c>
      <c r="D5" s="789">
        <v>0.27778000000000003</v>
      </c>
      <c r="E5" s="781">
        <f>C5*D5</f>
        <v>1.0217506739400001E-2</v>
      </c>
    </row>
    <row r="6" spans="1:5">
      <c r="A6" s="765" t="s">
        <v>692</v>
      </c>
      <c r="B6" s="757" t="s">
        <v>694</v>
      </c>
      <c r="C6" s="788">
        <v>4.2278999999999997E-2</v>
      </c>
      <c r="D6" s="789">
        <v>0.27778000000000003</v>
      </c>
      <c r="E6" s="781">
        <f t="shared" ref="E6:E21" si="0">C6*D6</f>
        <v>1.174426062E-2</v>
      </c>
    </row>
    <row r="7" spans="1:5">
      <c r="A7" s="765" t="s">
        <v>692</v>
      </c>
      <c r="B7" s="757" t="s">
        <v>695</v>
      </c>
      <c r="C7" s="788">
        <v>42.279000000000003</v>
      </c>
      <c r="D7" s="789">
        <v>0.27778000000000003</v>
      </c>
      <c r="E7" s="781">
        <f t="shared" si="0"/>
        <v>11.744260620000002</v>
      </c>
    </row>
    <row r="8" spans="1:5">
      <c r="A8" s="765" t="s">
        <v>696</v>
      </c>
      <c r="B8" s="757" t="s">
        <v>693</v>
      </c>
      <c r="C8" s="788">
        <v>3.8573799999999998E-2</v>
      </c>
      <c r="D8" s="789">
        <v>0.27778000000000003</v>
      </c>
      <c r="E8" s="781">
        <f t="shared" si="0"/>
        <v>1.0715030164E-2</v>
      </c>
    </row>
    <row r="9" spans="1:5">
      <c r="A9" s="765" t="s">
        <v>696</v>
      </c>
      <c r="B9" s="757" t="s">
        <v>694</v>
      </c>
      <c r="C9" s="788">
        <v>4.0604000000000001E-2</v>
      </c>
      <c r="D9" s="789">
        <v>0.27778000000000003</v>
      </c>
      <c r="E9" s="781">
        <f t="shared" si="0"/>
        <v>1.1278979120000001E-2</v>
      </c>
    </row>
    <row r="10" spans="1:5">
      <c r="A10" s="765" t="s">
        <v>696</v>
      </c>
      <c r="B10" s="757" t="s">
        <v>695</v>
      </c>
      <c r="C10" s="788">
        <v>40.603999999999999</v>
      </c>
      <c r="D10" s="789">
        <v>0.27778000000000003</v>
      </c>
      <c r="E10" s="781">
        <f t="shared" si="0"/>
        <v>11.278979120000001</v>
      </c>
    </row>
    <row r="11" spans="1:5">
      <c r="A11" s="765" t="s">
        <v>716</v>
      </c>
      <c r="B11" s="757" t="s">
        <v>693</v>
      </c>
      <c r="C11" s="788">
        <v>2.3511000000000001E-2</v>
      </c>
      <c r="D11" s="789">
        <v>0.27778000000000003</v>
      </c>
      <c r="E11" s="781">
        <f t="shared" si="0"/>
        <v>6.5308855800000004E-3</v>
      </c>
    </row>
    <row r="12" spans="1:5">
      <c r="A12" s="765" t="s">
        <v>716</v>
      </c>
      <c r="B12" s="757" t="s">
        <v>694</v>
      </c>
      <c r="C12" s="788">
        <v>4.6100000000000002E-2</v>
      </c>
      <c r="D12" s="789">
        <v>0.27778000000000003</v>
      </c>
      <c r="E12" s="781">
        <f t="shared" si="0"/>
        <v>1.2805658000000001E-2</v>
      </c>
    </row>
    <row r="13" spans="1:5">
      <c r="A13" s="765" t="s">
        <v>716</v>
      </c>
      <c r="B13" s="757" t="s">
        <v>695</v>
      </c>
      <c r="C13" s="788">
        <v>46.1</v>
      </c>
      <c r="D13" s="789">
        <v>0.27778000000000003</v>
      </c>
      <c r="E13" s="781">
        <f t="shared" si="0"/>
        <v>12.805658000000001</v>
      </c>
    </row>
    <row r="14" spans="1:5">
      <c r="A14" s="765" t="s">
        <v>717</v>
      </c>
      <c r="B14" s="757" t="s">
        <v>693</v>
      </c>
      <c r="C14" s="788">
        <v>2.6525139999999999E-2</v>
      </c>
      <c r="D14" s="789">
        <v>0.27778000000000003</v>
      </c>
      <c r="E14" s="781">
        <f t="shared" si="0"/>
        <v>7.3681533892000009E-3</v>
      </c>
    </row>
    <row r="15" spans="1:5">
      <c r="A15" s="765" t="s">
        <v>717</v>
      </c>
      <c r="B15" s="757" t="s">
        <v>694</v>
      </c>
      <c r="C15" s="788">
        <v>4.5733000000000003E-2</v>
      </c>
      <c r="D15" s="789">
        <v>0.27778000000000003</v>
      </c>
      <c r="E15" s="781">
        <f t="shared" si="0"/>
        <v>1.2703712740000001E-2</v>
      </c>
    </row>
    <row r="16" spans="1:5">
      <c r="A16" s="765" t="s">
        <v>717</v>
      </c>
      <c r="B16" s="757" t="s">
        <v>695</v>
      </c>
      <c r="C16" s="788">
        <v>45.732999999999997</v>
      </c>
      <c r="D16" s="789">
        <v>0.27778000000000003</v>
      </c>
      <c r="E16" s="781">
        <f t="shared" si="0"/>
        <v>12.70371274</v>
      </c>
    </row>
    <row r="17" spans="1:7">
      <c r="A17" s="765" t="s">
        <v>700</v>
      </c>
      <c r="B17" s="757" t="s">
        <v>697</v>
      </c>
      <c r="C17" s="788">
        <v>3.2923000000000001E-2</v>
      </c>
      <c r="D17" s="789">
        <f>0.27778</f>
        <v>0.27778000000000003</v>
      </c>
      <c r="E17" s="781">
        <f t="shared" si="0"/>
        <v>9.1453509400000015E-3</v>
      </c>
    </row>
    <row r="18" spans="1:7">
      <c r="A18" s="765" t="s">
        <v>701</v>
      </c>
      <c r="B18" s="757" t="s">
        <v>697</v>
      </c>
      <c r="C18" s="788">
        <v>3.8852400000000002E-2</v>
      </c>
      <c r="D18" s="789">
        <f>0.27778</f>
        <v>0.27778000000000003</v>
      </c>
      <c r="E18" s="781">
        <f t="shared" si="0"/>
        <v>1.0792419672000002E-2</v>
      </c>
    </row>
    <row r="19" spans="1:7">
      <c r="A19" s="765" t="s">
        <v>704</v>
      </c>
      <c r="B19" s="757" t="s">
        <v>693</v>
      </c>
      <c r="C19" s="788">
        <v>2.4812460000000001E-2</v>
      </c>
      <c r="D19" s="789">
        <v>0.27778000000000003</v>
      </c>
      <c r="E19" s="781">
        <f t="shared" si="0"/>
        <v>6.8924051388000009E-3</v>
      </c>
    </row>
    <row r="20" spans="1:7">
      <c r="A20" s="765" t="s">
        <v>704</v>
      </c>
      <c r="B20" s="757" t="s">
        <v>694</v>
      </c>
      <c r="C20" s="788">
        <v>4.5948999999999997E-2</v>
      </c>
      <c r="D20" s="789">
        <v>0.27778000000000003</v>
      </c>
      <c r="E20" s="781">
        <f t="shared" si="0"/>
        <v>1.276371322E-2</v>
      </c>
    </row>
    <row r="21" spans="1:7">
      <c r="A21" s="765" t="s">
        <v>704</v>
      </c>
      <c r="B21" s="757" t="s">
        <v>695</v>
      </c>
      <c r="C21" s="788">
        <v>45.948999999999998</v>
      </c>
      <c r="D21" s="789">
        <v>0.27778000000000003</v>
      </c>
      <c r="E21" s="781">
        <f t="shared" si="0"/>
        <v>12.763713220000001</v>
      </c>
    </row>
    <row r="22" spans="1:7" ht="15.75" thickBot="1">
      <c r="A22" s="786"/>
      <c r="B22" s="768"/>
      <c r="C22" s="790"/>
      <c r="D22" s="790"/>
      <c r="E22" s="769"/>
    </row>
    <row r="23" spans="1:7" ht="15.75" thickBot="1">
      <c r="A23" s="761"/>
      <c r="B23" s="761"/>
      <c r="C23" s="761"/>
      <c r="D23" s="761"/>
      <c r="E23" s="761"/>
    </row>
    <row r="24" spans="1:7" ht="15.75" thickBot="1">
      <c r="A24" s="758" t="s">
        <v>699</v>
      </c>
      <c r="B24" s="759"/>
      <c r="C24" s="759"/>
      <c r="D24" s="759"/>
      <c r="E24" s="760"/>
    </row>
    <row r="25" spans="1:7">
      <c r="A25" s="785" t="s">
        <v>434</v>
      </c>
      <c r="B25" s="763" t="s">
        <v>614</v>
      </c>
      <c r="C25" s="763"/>
      <c r="D25" s="763"/>
      <c r="E25" s="764"/>
    </row>
    <row r="26" spans="1:7">
      <c r="A26" s="57"/>
      <c r="B26" s="56"/>
      <c r="C26" s="56"/>
      <c r="D26" s="56"/>
      <c r="E26" s="111"/>
    </row>
    <row r="27" spans="1:7" s="382" customFormat="1">
      <c r="A27" s="762" t="s">
        <v>702</v>
      </c>
      <c r="B27" s="770" t="s">
        <v>691</v>
      </c>
      <c r="C27" s="778"/>
      <c r="D27" s="777"/>
      <c r="E27" s="793" t="s">
        <v>706</v>
      </c>
    </row>
    <row r="28" spans="1:7">
      <c r="A28" s="765" t="s">
        <v>208</v>
      </c>
      <c r="B28" s="757" t="s">
        <v>693</v>
      </c>
      <c r="C28" s="779"/>
      <c r="D28" s="780"/>
      <c r="E28" s="787">
        <v>1.0318524214200001E-2</v>
      </c>
      <c r="G28" s="761"/>
    </row>
    <row r="29" spans="1:7">
      <c r="A29" s="765" t="s">
        <v>123</v>
      </c>
      <c r="B29" s="757" t="s">
        <v>693</v>
      </c>
      <c r="C29" s="779"/>
      <c r="D29" s="780"/>
      <c r="E29" s="787">
        <v>9.2179945767000004E-3</v>
      </c>
    </row>
    <row r="30" spans="1:7">
      <c r="A30" s="765" t="s">
        <v>704</v>
      </c>
      <c r="B30" s="757" t="s">
        <v>693</v>
      </c>
      <c r="C30" s="779"/>
      <c r="D30" s="780"/>
      <c r="E30" s="787">
        <v>7.0200422710000009E-3</v>
      </c>
    </row>
    <row r="31" spans="1:7">
      <c r="A31" s="765" t="s">
        <v>705</v>
      </c>
      <c r="B31" s="757" t="s">
        <v>693</v>
      </c>
      <c r="C31" s="779"/>
      <c r="D31" s="780"/>
      <c r="E31" s="787">
        <v>1.0182510120540402E-5</v>
      </c>
    </row>
    <row r="32" spans="1:7" ht="15.75" thickBot="1">
      <c r="A32" s="766"/>
      <c r="B32" s="767"/>
      <c r="C32" s="782"/>
      <c r="D32" s="783"/>
      <c r="E32" s="78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9"/>
  <sheetViews>
    <sheetView showGridLines="0" workbookViewId="0">
      <selection activeCell="C34" sqref="C34"/>
    </sheetView>
  </sheetViews>
  <sheetFormatPr defaultRowHeight="15"/>
  <cols>
    <col min="1" max="1" width="54" customWidth="1"/>
    <col min="2" max="2" width="69.85546875" customWidth="1"/>
    <col min="3" max="3" width="132.140625" customWidth="1"/>
  </cols>
  <sheetData>
    <row r="1" spans="1:3" ht="15.75" thickBot="1"/>
    <row r="2" spans="1:3" s="22" customFormat="1" ht="60.75" customHeight="1" thickBot="1">
      <c r="A2" s="150" t="s">
        <v>519</v>
      </c>
      <c r="B2" s="125"/>
      <c r="C2" s="126"/>
    </row>
    <row r="3" spans="1:3" s="26" customFormat="1" ht="15.75">
      <c r="A3" s="113"/>
      <c r="B3" s="85"/>
      <c r="C3" s="114"/>
    </row>
    <row r="4" spans="1:3">
      <c r="A4" s="110" t="s">
        <v>400</v>
      </c>
      <c r="B4" s="84" t="s">
        <v>412</v>
      </c>
      <c r="C4" s="115" t="s">
        <v>411</v>
      </c>
    </row>
    <row r="5" spans="1:3">
      <c r="A5" s="127"/>
      <c r="B5" s="56"/>
      <c r="C5" s="111"/>
    </row>
    <row r="6" spans="1:3" s="22" customFormat="1">
      <c r="A6" s="128" t="s">
        <v>540</v>
      </c>
      <c r="B6" s="145" t="s">
        <v>541</v>
      </c>
      <c r="C6" s="146" t="s">
        <v>543</v>
      </c>
    </row>
    <row r="7" spans="1:3" s="22" customFormat="1">
      <c r="A7" s="138"/>
      <c r="B7" s="176"/>
      <c r="C7" s="177" t="s">
        <v>718</v>
      </c>
    </row>
    <row r="8" spans="1:3" s="22" customFormat="1">
      <c r="A8" s="147"/>
      <c r="B8" s="148"/>
      <c r="C8" s="149"/>
    </row>
    <row r="9" spans="1:3" s="22" customFormat="1">
      <c r="A9" s="128" t="s">
        <v>542</v>
      </c>
      <c r="B9" s="145" t="s">
        <v>545</v>
      </c>
      <c r="C9" s="146" t="s">
        <v>609</v>
      </c>
    </row>
    <row r="10" spans="1:3" s="22" customFormat="1">
      <c r="A10" s="147"/>
      <c r="B10" s="148"/>
      <c r="C10" s="149"/>
    </row>
    <row r="11" spans="1:3" s="22" customFormat="1" ht="18">
      <c r="A11" s="128" t="s">
        <v>544</v>
      </c>
      <c r="B11" s="145" t="s">
        <v>546</v>
      </c>
      <c r="C11" s="174" t="s">
        <v>607</v>
      </c>
    </row>
    <row r="12" spans="1:3" s="22" customFormat="1">
      <c r="A12" s="147"/>
      <c r="B12" s="148"/>
      <c r="C12" s="149"/>
    </row>
    <row r="13" spans="1:3" s="22" customFormat="1" ht="18">
      <c r="A13" s="128" t="s">
        <v>547</v>
      </c>
      <c r="B13" s="145" t="s">
        <v>548</v>
      </c>
      <c r="C13" s="175" t="s">
        <v>608</v>
      </c>
    </row>
    <row r="14" spans="1:3" s="22" customFormat="1">
      <c r="A14" s="147"/>
      <c r="B14" s="148"/>
      <c r="C14" s="149"/>
    </row>
    <row r="15" spans="1:3" s="22" customFormat="1" ht="18">
      <c r="A15" s="128" t="s">
        <v>549</v>
      </c>
      <c r="B15" t="s">
        <v>553</v>
      </c>
      <c r="C15" s="146" t="s">
        <v>610</v>
      </c>
    </row>
    <row r="16" spans="1:3" s="22" customFormat="1">
      <c r="A16" s="147"/>
      <c r="B16" s="148"/>
      <c r="C16" s="149"/>
    </row>
    <row r="17" spans="1:3" s="22" customFormat="1" ht="30">
      <c r="A17" s="128" t="s">
        <v>433</v>
      </c>
      <c r="B17" s="145" t="s">
        <v>554</v>
      </c>
      <c r="C17" s="146" t="s">
        <v>611</v>
      </c>
    </row>
    <row r="18" spans="1:3" s="22" customFormat="1">
      <c r="A18" s="147"/>
      <c r="B18" s="148"/>
      <c r="C18" s="149" t="s">
        <v>550</v>
      </c>
    </row>
    <row r="19" spans="1:3" s="22" customFormat="1" ht="30">
      <c r="A19" s="128" t="s">
        <v>551</v>
      </c>
      <c r="B19" s="145" t="s">
        <v>555</v>
      </c>
      <c r="C19" s="146" t="s">
        <v>612</v>
      </c>
    </row>
    <row r="20" spans="1:3" s="22" customFormat="1">
      <c r="A20" s="147"/>
      <c r="B20" s="148"/>
      <c r="C20" s="149"/>
    </row>
    <row r="21" spans="1:3" s="22" customFormat="1" ht="30">
      <c r="A21" s="128" t="s">
        <v>552</v>
      </c>
      <c r="B21" s="145" t="s">
        <v>613</v>
      </c>
      <c r="C21" s="146" t="s">
        <v>686</v>
      </c>
    </row>
    <row r="22" spans="1:3" s="22" customFormat="1">
      <c r="A22" s="156"/>
      <c r="B22" s="176"/>
      <c r="C22" s="177"/>
    </row>
    <row r="23" spans="1:3" ht="21">
      <c r="A23" s="141" t="s">
        <v>557</v>
      </c>
      <c r="B23" s="140"/>
      <c r="C23" s="137"/>
    </row>
    <row r="29" spans="1:3">
      <c r="B29" t="s">
        <v>249</v>
      </c>
    </row>
  </sheetData>
  <sheetProtection password="849B" sheet="1" objects="1" scenarios="1"/>
  <hyperlinks>
    <hyperlink ref="A6" location="data!A1" display="data"/>
    <hyperlink ref="A9" location="'EF N2O_CH4 landbouw'!A1" display="EF N2O_CH4 landbouw"/>
    <hyperlink ref="A11" location="'ha_N2O bodem landbouw'!A1" display="ha_N2O bodem landbouw"/>
    <hyperlink ref="A13" location="'GWP N2O_CH4'!A1" display="GWP N2O_CH4"/>
    <hyperlink ref="A15" location="'EF brandstof'!A1" display="EF brandstof"/>
    <hyperlink ref="A17" location="'EF ele_warmte'!A1" display="EF ele_warmte"/>
    <hyperlink ref="A19" location="'ECF transport '!A1" display="ECF transport"/>
    <hyperlink ref="A21" location="'E Balans VL '!A1" display="E Balans VL"/>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F130"/>
  <sheetViews>
    <sheetView topLeftCell="A12" zoomScaleNormal="100" workbookViewId="0">
      <selection sqref="A1:XFD1048576"/>
    </sheetView>
  </sheetViews>
  <sheetFormatPr defaultRowHeight="15"/>
  <cols>
    <col min="1" max="1" width="61.42578125" bestFit="1" customWidth="1"/>
    <col min="2" max="2" width="59.42578125" bestFit="1" customWidth="1"/>
    <col min="3" max="4" width="28.7109375" customWidth="1"/>
    <col min="5" max="5" width="32" bestFit="1" customWidth="1"/>
    <col min="6" max="6" width="28.7109375" customWidth="1"/>
  </cols>
  <sheetData>
    <row r="1" spans="1:6" ht="62.25" customHeight="1" thickTop="1" thickBot="1">
      <c r="A1" s="151">
        <v>11029</v>
      </c>
      <c r="B1" s="380"/>
      <c r="C1" s="380"/>
      <c r="D1" s="380"/>
      <c r="E1" s="380"/>
      <c r="F1" s="381"/>
    </row>
    <row r="2" spans="1:6">
      <c r="A2" s="382"/>
      <c r="B2" s="382"/>
      <c r="C2" s="382"/>
      <c r="D2" s="382"/>
      <c r="E2" s="382"/>
      <c r="F2" s="382"/>
    </row>
    <row r="3" spans="1:6" ht="19.5">
      <c r="A3" s="383" t="s">
        <v>0</v>
      </c>
      <c r="B3" s="382"/>
      <c r="C3" s="382"/>
      <c r="D3" s="382"/>
      <c r="E3" s="382"/>
      <c r="F3" s="382"/>
    </row>
    <row r="4" spans="1:6" ht="22.5">
      <c r="A4" s="384" t="s">
        <v>769</v>
      </c>
      <c r="B4" s="382"/>
      <c r="C4" s="382"/>
      <c r="D4" s="382"/>
      <c r="E4" s="382"/>
      <c r="F4" s="382"/>
    </row>
    <row r="5" spans="1:6" ht="22.5">
      <c r="A5" s="384" t="s">
        <v>770</v>
      </c>
      <c r="B5" s="382"/>
      <c r="C5" s="382"/>
      <c r="D5" s="382"/>
      <c r="E5" s="382"/>
      <c r="F5" s="382"/>
    </row>
    <row r="6" spans="1:6" ht="15.75" thickBot="1">
      <c r="A6" s="382"/>
      <c r="B6" s="382"/>
      <c r="C6" s="382"/>
      <c r="D6" s="382"/>
      <c r="E6" s="382"/>
      <c r="F6" s="382"/>
    </row>
    <row r="7" spans="1:6" ht="20.25" thickBot="1">
      <c r="A7" s="385" t="s">
        <v>1</v>
      </c>
      <c r="B7" s="386" t="s">
        <v>434</v>
      </c>
      <c r="C7" s="386" t="s">
        <v>444</v>
      </c>
      <c r="D7" s="386"/>
      <c r="E7" s="386"/>
      <c r="F7" s="387"/>
    </row>
    <row r="8" spans="1:6" ht="16.5" thickTop="1" thickBot="1">
      <c r="A8" s="388" t="s">
        <v>4</v>
      </c>
      <c r="B8" s="389">
        <v>2011</v>
      </c>
      <c r="C8" s="389">
        <v>2020</v>
      </c>
      <c r="D8" s="380"/>
      <c r="E8" s="380"/>
      <c r="F8" s="381"/>
    </row>
    <row r="9" spans="1:6">
      <c r="A9" s="390" t="s">
        <v>2</v>
      </c>
      <c r="B9" s="391">
        <v>10771</v>
      </c>
      <c r="C9" s="391">
        <v>10776</v>
      </c>
      <c r="D9" s="391"/>
      <c r="E9" s="391"/>
      <c r="F9" s="391"/>
    </row>
    <row r="10" spans="1:6">
      <c r="A10" s="392"/>
      <c r="B10" s="382"/>
      <c r="C10" s="382"/>
      <c r="D10" s="382"/>
      <c r="E10" s="382"/>
      <c r="F10" s="382"/>
    </row>
    <row r="11" spans="1:6" ht="15.75" thickBot="1">
      <c r="A11" s="392"/>
      <c r="B11" s="382"/>
      <c r="C11" s="382"/>
      <c r="D11" s="382"/>
      <c r="E11" s="382"/>
      <c r="F11" s="382"/>
    </row>
    <row r="12" spans="1:6" ht="20.25" thickBot="1">
      <c r="A12" s="385" t="s">
        <v>3</v>
      </c>
      <c r="B12" s="386" t="s">
        <v>434</v>
      </c>
      <c r="C12" s="386" t="s">
        <v>749</v>
      </c>
      <c r="D12" s="386"/>
      <c r="E12" s="386"/>
      <c r="F12" s="393"/>
    </row>
    <row r="13" spans="1:6" ht="16.5" thickTop="1" thickBot="1">
      <c r="A13" s="394" t="s">
        <v>4</v>
      </c>
      <c r="B13" s="395" t="s">
        <v>5</v>
      </c>
      <c r="C13" s="395"/>
      <c r="D13" s="395"/>
      <c r="E13" s="395"/>
      <c r="F13" s="396"/>
    </row>
    <row r="14" spans="1:6">
      <c r="A14" s="397" t="s">
        <v>771</v>
      </c>
      <c r="B14" s="382">
        <v>114</v>
      </c>
      <c r="C14" s="382"/>
      <c r="D14" s="382"/>
      <c r="E14" s="382"/>
      <c r="F14" s="382"/>
    </row>
    <row r="15" spans="1:6">
      <c r="A15" s="397" t="s">
        <v>190</v>
      </c>
      <c r="B15" s="382">
        <v>2</v>
      </c>
      <c r="C15" s="382"/>
      <c r="D15" s="382"/>
      <c r="E15" s="382"/>
      <c r="F15" s="382"/>
    </row>
    <row r="16" spans="1:6">
      <c r="A16" s="397" t="s">
        <v>6</v>
      </c>
      <c r="B16" s="382">
        <v>139</v>
      </c>
      <c r="C16" s="382"/>
      <c r="D16" s="382"/>
      <c r="E16" s="382"/>
      <c r="F16" s="382"/>
    </row>
    <row r="17" spans="1:6">
      <c r="A17" s="397" t="s">
        <v>7</v>
      </c>
      <c r="B17" s="382">
        <v>2</v>
      </c>
      <c r="C17" s="382"/>
      <c r="D17" s="382"/>
      <c r="E17" s="382"/>
      <c r="F17" s="382"/>
    </row>
    <row r="18" spans="1:6">
      <c r="A18" s="397" t="s">
        <v>8</v>
      </c>
      <c r="B18" s="382">
        <v>79</v>
      </c>
      <c r="C18" s="382"/>
      <c r="D18" s="382"/>
      <c r="E18" s="382"/>
      <c r="F18" s="382"/>
    </row>
    <row r="19" spans="1:6">
      <c r="A19" s="397" t="s">
        <v>9</v>
      </c>
      <c r="B19" s="382">
        <v>70</v>
      </c>
      <c r="C19" s="382"/>
      <c r="D19" s="382"/>
      <c r="E19" s="382"/>
      <c r="F19" s="382"/>
    </row>
    <row r="20" spans="1:6">
      <c r="A20" s="397" t="s">
        <v>10</v>
      </c>
      <c r="B20" s="382">
        <v>59</v>
      </c>
      <c r="C20" s="382"/>
      <c r="D20" s="382"/>
      <c r="E20" s="382"/>
      <c r="F20" s="382"/>
    </row>
    <row r="21" spans="1:6">
      <c r="A21" s="397" t="s">
        <v>11</v>
      </c>
      <c r="B21" s="382">
        <v>0</v>
      </c>
      <c r="C21" s="382"/>
      <c r="D21" s="382"/>
      <c r="E21" s="382"/>
      <c r="F21" s="382"/>
    </row>
    <row r="22" spans="1:6">
      <c r="A22" s="397" t="s">
        <v>12</v>
      </c>
      <c r="B22" s="382">
        <v>0</v>
      </c>
      <c r="C22" s="382"/>
      <c r="D22" s="382"/>
      <c r="E22" s="382"/>
      <c r="F22" s="382"/>
    </row>
    <row r="23" spans="1:6">
      <c r="A23" s="397" t="s">
        <v>13</v>
      </c>
      <c r="B23" s="382">
        <v>0</v>
      </c>
      <c r="C23" s="382"/>
      <c r="D23" s="382"/>
      <c r="E23" s="382"/>
      <c r="F23" s="382"/>
    </row>
    <row r="24" spans="1:6">
      <c r="A24" s="397" t="s">
        <v>14</v>
      </c>
      <c r="B24" s="382">
        <v>0</v>
      </c>
      <c r="C24" s="382"/>
      <c r="D24" s="382"/>
      <c r="E24" s="382"/>
      <c r="F24" s="382"/>
    </row>
    <row r="25" spans="1:6">
      <c r="A25" s="397" t="s">
        <v>15</v>
      </c>
      <c r="B25" s="382">
        <v>0</v>
      </c>
      <c r="C25" s="382"/>
      <c r="D25" s="382"/>
      <c r="E25" s="382"/>
      <c r="F25" s="382"/>
    </row>
    <row r="26" spans="1:6">
      <c r="A26" s="397" t="s">
        <v>16</v>
      </c>
      <c r="B26" s="382">
        <v>0</v>
      </c>
      <c r="C26" s="382"/>
      <c r="D26" s="382"/>
      <c r="E26" s="382"/>
      <c r="F26" s="382"/>
    </row>
    <row r="27" spans="1:6">
      <c r="A27" s="397" t="s">
        <v>17</v>
      </c>
      <c r="B27" s="382">
        <v>0</v>
      </c>
      <c r="C27" s="382"/>
      <c r="D27" s="382"/>
      <c r="E27" s="382"/>
      <c r="F27" s="382"/>
    </row>
    <row r="28" spans="1:6">
      <c r="A28" s="390" t="s">
        <v>18</v>
      </c>
      <c r="B28" s="390">
        <v>4</v>
      </c>
      <c r="C28" s="391"/>
      <c r="D28" s="391"/>
      <c r="E28" s="391"/>
      <c r="F28" s="391"/>
    </row>
    <row r="29" spans="1:6">
      <c r="A29" s="392"/>
      <c r="B29" s="382"/>
      <c r="C29" s="382"/>
      <c r="D29" s="382"/>
      <c r="E29" s="382"/>
      <c r="F29" s="382"/>
    </row>
    <row r="30" spans="1:6" ht="15.75" thickBot="1">
      <c r="A30" s="392"/>
      <c r="B30" s="382"/>
      <c r="C30" s="382"/>
      <c r="D30" s="382"/>
      <c r="E30" s="382"/>
      <c r="F30" s="382"/>
    </row>
    <row r="31" spans="1:6" ht="20.25" thickBot="1">
      <c r="A31" s="385" t="s">
        <v>19</v>
      </c>
      <c r="B31" s="386" t="s">
        <v>434</v>
      </c>
      <c r="C31" s="386" t="s">
        <v>445</v>
      </c>
      <c r="D31" s="386"/>
      <c r="E31" s="386"/>
      <c r="F31" s="393"/>
    </row>
    <row r="32" spans="1:6" ht="16.5" thickTop="1" thickBot="1">
      <c r="A32" s="398"/>
      <c r="B32" s="399"/>
      <c r="C32" s="399" t="s">
        <v>20</v>
      </c>
      <c r="D32" s="399"/>
      <c r="E32" s="399" t="s">
        <v>21</v>
      </c>
      <c r="F32" s="400"/>
    </row>
    <row r="33" spans="1:6" ht="16.5" thickTop="1" thickBot="1">
      <c r="A33" s="401" t="s">
        <v>22</v>
      </c>
      <c r="B33" s="402" t="s">
        <v>23</v>
      </c>
      <c r="C33" s="402" t="s">
        <v>5</v>
      </c>
      <c r="D33" s="402" t="s">
        <v>24</v>
      </c>
      <c r="E33" s="402" t="s">
        <v>5</v>
      </c>
      <c r="F33" s="403" t="s">
        <v>24</v>
      </c>
    </row>
    <row r="34" spans="1:6">
      <c r="A34" s="397" t="s">
        <v>25</v>
      </c>
      <c r="B34" s="397" t="s">
        <v>26</v>
      </c>
      <c r="C34" s="382">
        <v>0</v>
      </c>
      <c r="D34" s="382">
        <v>0</v>
      </c>
      <c r="E34" s="382">
        <v>0</v>
      </c>
      <c r="F34" s="382">
        <v>0</v>
      </c>
    </row>
    <row r="35" spans="1:6">
      <c r="A35" s="397" t="s">
        <v>25</v>
      </c>
      <c r="B35" s="397" t="s">
        <v>27</v>
      </c>
      <c r="C35" s="382">
        <v>0</v>
      </c>
      <c r="D35" s="382">
        <v>0</v>
      </c>
      <c r="E35" s="382">
        <v>0</v>
      </c>
      <c r="F35" s="382">
        <v>0</v>
      </c>
    </row>
    <row r="36" spans="1:6">
      <c r="A36" s="397" t="s">
        <v>25</v>
      </c>
      <c r="B36" s="397" t="s">
        <v>28</v>
      </c>
      <c r="C36" s="382">
        <v>0</v>
      </c>
      <c r="D36" s="382">
        <v>0</v>
      </c>
      <c r="E36" s="382">
        <v>0</v>
      </c>
      <c r="F36" s="382">
        <v>0</v>
      </c>
    </row>
    <row r="37" spans="1:6">
      <c r="A37" s="397" t="s">
        <v>25</v>
      </c>
      <c r="B37" s="397" t="s">
        <v>29</v>
      </c>
      <c r="C37" s="382">
        <v>1</v>
      </c>
      <c r="D37" s="382">
        <v>24231.457972100299</v>
      </c>
      <c r="E37" s="382">
        <v>4</v>
      </c>
      <c r="F37" s="382">
        <v>39159</v>
      </c>
    </row>
    <row r="38" spans="1:6">
      <c r="A38" s="397" t="s">
        <v>30</v>
      </c>
      <c r="B38" s="397" t="s">
        <v>31</v>
      </c>
      <c r="C38" s="382">
        <v>8935</v>
      </c>
      <c r="D38" s="382">
        <v>139735633.10911399</v>
      </c>
      <c r="E38" s="382">
        <v>10932</v>
      </c>
      <c r="F38" s="382">
        <v>36763698.305203103</v>
      </c>
    </row>
    <row r="39" spans="1:6">
      <c r="A39" s="397" t="s">
        <v>30</v>
      </c>
      <c r="B39" s="397" t="s">
        <v>29</v>
      </c>
      <c r="C39" s="382">
        <v>0</v>
      </c>
      <c r="D39" s="382">
        <v>0</v>
      </c>
      <c r="E39" s="382">
        <v>0</v>
      </c>
      <c r="F39" s="382">
        <v>0</v>
      </c>
    </row>
    <row r="40" spans="1:6">
      <c r="A40" s="397" t="s">
        <v>32</v>
      </c>
      <c r="B40" s="397" t="s">
        <v>33</v>
      </c>
      <c r="C40" s="382">
        <v>61</v>
      </c>
      <c r="D40" s="382">
        <v>1247753.9965454901</v>
      </c>
      <c r="E40" s="382">
        <v>112</v>
      </c>
      <c r="F40" s="382">
        <v>854494.09915327304</v>
      </c>
    </row>
    <row r="41" spans="1:6">
      <c r="A41" s="397" t="s">
        <v>32</v>
      </c>
      <c r="B41" s="397" t="s">
        <v>34</v>
      </c>
      <c r="C41" s="382">
        <v>7</v>
      </c>
      <c r="D41" s="382">
        <v>354250262.83163702</v>
      </c>
      <c r="E41" s="382">
        <v>0</v>
      </c>
      <c r="F41" s="382">
        <v>0</v>
      </c>
    </row>
    <row r="42" spans="1:6">
      <c r="A42" s="397" t="s">
        <v>32</v>
      </c>
      <c r="B42" s="397" t="s">
        <v>35</v>
      </c>
      <c r="C42" s="382">
        <v>0</v>
      </c>
      <c r="D42" s="382">
        <v>0</v>
      </c>
      <c r="E42" s="382">
        <v>0</v>
      </c>
      <c r="F42" s="382">
        <v>0</v>
      </c>
    </row>
    <row r="43" spans="1:6">
      <c r="A43" s="397" t="s">
        <v>32</v>
      </c>
      <c r="B43" s="397" t="s">
        <v>36</v>
      </c>
      <c r="C43" s="382">
        <v>0</v>
      </c>
      <c r="D43" s="382">
        <v>0</v>
      </c>
      <c r="E43" s="382">
        <v>4</v>
      </c>
      <c r="F43" s="382">
        <v>26590.173854962399</v>
      </c>
    </row>
    <row r="44" spans="1:6">
      <c r="A44" s="397" t="s">
        <v>32</v>
      </c>
      <c r="B44" s="397" t="s">
        <v>37</v>
      </c>
      <c r="C44" s="382">
        <v>0</v>
      </c>
      <c r="D44" s="382">
        <v>0</v>
      </c>
      <c r="E44" s="382">
        <v>0</v>
      </c>
      <c r="F44" s="382">
        <v>0</v>
      </c>
    </row>
    <row r="45" spans="1:6">
      <c r="A45" s="397" t="s">
        <v>32</v>
      </c>
      <c r="B45" s="397" t="s">
        <v>38</v>
      </c>
      <c r="C45" s="382">
        <v>0</v>
      </c>
      <c r="D45" s="382">
        <v>0</v>
      </c>
      <c r="E45" s="382">
        <v>0</v>
      </c>
      <c r="F45" s="382">
        <v>0</v>
      </c>
    </row>
    <row r="46" spans="1:6">
      <c r="A46" s="397" t="s">
        <v>32</v>
      </c>
      <c r="B46" s="397" t="s">
        <v>39</v>
      </c>
      <c r="C46" s="382">
        <v>7</v>
      </c>
      <c r="D46" s="382">
        <v>218442.094978432</v>
      </c>
      <c r="E46" s="382">
        <v>8</v>
      </c>
      <c r="F46" s="382">
        <v>128703.970673391</v>
      </c>
    </row>
    <row r="47" spans="1:6">
      <c r="A47" s="397" t="s">
        <v>32</v>
      </c>
      <c r="B47" s="397" t="s">
        <v>29</v>
      </c>
      <c r="C47" s="382">
        <v>21</v>
      </c>
      <c r="D47" s="382">
        <v>679611.33720339299</v>
      </c>
      <c r="E47" s="382">
        <v>23</v>
      </c>
      <c r="F47" s="382">
        <v>361337.93206726102</v>
      </c>
    </row>
    <row r="48" spans="1:6">
      <c r="A48" s="397" t="s">
        <v>32</v>
      </c>
      <c r="B48" s="397" t="s">
        <v>40</v>
      </c>
      <c r="C48" s="382">
        <v>0</v>
      </c>
      <c r="D48" s="382">
        <v>0</v>
      </c>
      <c r="E48" s="382">
        <v>0</v>
      </c>
      <c r="F48" s="382">
        <v>0</v>
      </c>
    </row>
    <row r="49" spans="1:6">
      <c r="A49" s="397" t="s">
        <v>32</v>
      </c>
      <c r="B49" s="397" t="s">
        <v>41</v>
      </c>
      <c r="C49" s="382">
        <v>5</v>
      </c>
      <c r="D49" s="382">
        <v>651388.87876460503</v>
      </c>
      <c r="E49" s="382">
        <v>11</v>
      </c>
      <c r="F49" s="382">
        <v>716808.40153338097</v>
      </c>
    </row>
    <row r="50" spans="1:6">
      <c r="A50" s="397" t="s">
        <v>42</v>
      </c>
      <c r="B50" s="397" t="s">
        <v>43</v>
      </c>
      <c r="C50" s="382">
        <v>0</v>
      </c>
      <c r="D50" s="382">
        <v>0</v>
      </c>
      <c r="E50" s="382">
        <v>4</v>
      </c>
      <c r="F50" s="382">
        <v>28562.0962459568</v>
      </c>
    </row>
    <row r="51" spans="1:6">
      <c r="A51" s="397" t="s">
        <v>42</v>
      </c>
      <c r="B51" s="397" t="s">
        <v>29</v>
      </c>
      <c r="C51" s="382">
        <v>3</v>
      </c>
      <c r="D51" s="382">
        <v>84808.741215361995</v>
      </c>
      <c r="E51" s="382">
        <v>2</v>
      </c>
      <c r="F51" s="382">
        <v>145644.297365087</v>
      </c>
    </row>
    <row r="52" spans="1:6">
      <c r="A52" s="397" t="s">
        <v>44</v>
      </c>
      <c r="B52" s="397" t="s">
        <v>45</v>
      </c>
      <c r="C52" s="382">
        <v>409</v>
      </c>
      <c r="D52" s="382">
        <v>7072425.0373931304</v>
      </c>
      <c r="E52" s="382">
        <v>608</v>
      </c>
      <c r="F52" s="382">
        <v>2803444.3040019199</v>
      </c>
    </row>
    <row r="53" spans="1:6">
      <c r="A53" s="397" t="s">
        <v>46</v>
      </c>
      <c r="B53" s="397" t="s">
        <v>47</v>
      </c>
      <c r="C53" s="382">
        <v>0</v>
      </c>
      <c r="D53" s="382">
        <v>0</v>
      </c>
      <c r="E53" s="382">
        <v>1</v>
      </c>
      <c r="F53" s="382">
        <v>1028881</v>
      </c>
    </row>
    <row r="54" spans="1:6">
      <c r="A54" s="397" t="s">
        <v>46</v>
      </c>
      <c r="B54" s="397" t="s">
        <v>29</v>
      </c>
      <c r="C54" s="382">
        <v>0</v>
      </c>
      <c r="D54" s="382">
        <v>0</v>
      </c>
      <c r="E54" s="382">
        <v>0</v>
      </c>
      <c r="F54" s="382">
        <v>0</v>
      </c>
    </row>
    <row r="55" spans="1:6">
      <c r="A55" s="397" t="s">
        <v>48</v>
      </c>
      <c r="B55" s="397" t="s">
        <v>29</v>
      </c>
      <c r="C55" s="382">
        <v>0</v>
      </c>
      <c r="D55" s="382">
        <v>0</v>
      </c>
      <c r="E55" s="382">
        <v>0</v>
      </c>
      <c r="F55" s="382">
        <v>0</v>
      </c>
    </row>
    <row r="56" spans="1:6">
      <c r="A56" s="397" t="s">
        <v>49</v>
      </c>
      <c r="B56" s="397" t="s">
        <v>50</v>
      </c>
      <c r="C56" s="382">
        <v>67</v>
      </c>
      <c r="D56" s="382">
        <v>2423030.6149959299</v>
      </c>
      <c r="E56" s="382">
        <v>89</v>
      </c>
      <c r="F56" s="382">
        <v>880287.101232894</v>
      </c>
    </row>
    <row r="57" spans="1:6">
      <c r="A57" s="397" t="s">
        <v>49</v>
      </c>
      <c r="B57" s="397" t="s">
        <v>51</v>
      </c>
      <c r="C57" s="382">
        <v>78</v>
      </c>
      <c r="D57" s="382">
        <v>15916427.237436799</v>
      </c>
      <c r="E57" s="382">
        <v>100</v>
      </c>
      <c r="F57" s="382">
        <v>4926889.6415034002</v>
      </c>
    </row>
    <row r="58" spans="1:6">
      <c r="A58" s="397" t="s">
        <v>49</v>
      </c>
      <c r="B58" s="397" t="s">
        <v>52</v>
      </c>
      <c r="C58" s="382">
        <v>188</v>
      </c>
      <c r="D58" s="382">
        <v>6045663.2595927101</v>
      </c>
      <c r="E58" s="382">
        <v>294</v>
      </c>
      <c r="F58" s="382">
        <v>7057856.6744276602</v>
      </c>
    </row>
    <row r="59" spans="1:6">
      <c r="A59" s="397" t="s">
        <v>49</v>
      </c>
      <c r="B59" s="397" t="s">
        <v>53</v>
      </c>
      <c r="C59" s="382">
        <v>64</v>
      </c>
      <c r="D59" s="382">
        <v>3224723.1940245</v>
      </c>
      <c r="E59" s="382">
        <v>77</v>
      </c>
      <c r="F59" s="382">
        <v>1700109.21310113</v>
      </c>
    </row>
    <row r="60" spans="1:6">
      <c r="A60" s="397" t="s">
        <v>49</v>
      </c>
      <c r="B60" s="397" t="s">
        <v>54</v>
      </c>
      <c r="C60" s="382">
        <v>262</v>
      </c>
      <c r="D60" s="382">
        <v>14150715.8064346</v>
      </c>
      <c r="E60" s="382">
        <v>562</v>
      </c>
      <c r="F60" s="382">
        <v>6883940.3087403802</v>
      </c>
    </row>
    <row r="61" spans="1:6">
      <c r="A61" s="397" t="s">
        <v>49</v>
      </c>
      <c r="B61" s="397" t="s">
        <v>55</v>
      </c>
      <c r="C61" s="382">
        <v>19</v>
      </c>
      <c r="D61" s="382">
        <v>2301963.1742404001</v>
      </c>
      <c r="E61" s="382">
        <v>30</v>
      </c>
      <c r="F61" s="382">
        <v>648704.29257999302</v>
      </c>
    </row>
    <row r="62" spans="1:6">
      <c r="A62" s="397" t="s">
        <v>49</v>
      </c>
      <c r="B62" s="397" t="s">
        <v>29</v>
      </c>
      <c r="C62" s="382">
        <v>97</v>
      </c>
      <c r="D62" s="382">
        <v>4038601.6203831499</v>
      </c>
      <c r="E62" s="382">
        <v>94</v>
      </c>
      <c r="F62" s="382">
        <v>7463957.2108715596</v>
      </c>
    </row>
    <row r="63" spans="1:6">
      <c r="A63" s="397" t="s">
        <v>56</v>
      </c>
      <c r="B63" s="397" t="s">
        <v>57</v>
      </c>
      <c r="C63" s="382">
        <v>0</v>
      </c>
      <c r="D63" s="382">
        <v>0</v>
      </c>
      <c r="E63" s="382">
        <v>0</v>
      </c>
      <c r="F63" s="382">
        <v>0</v>
      </c>
    </row>
    <row r="64" spans="1:6">
      <c r="A64" s="397" t="s">
        <v>56</v>
      </c>
      <c r="B64" s="397" t="s">
        <v>29</v>
      </c>
      <c r="C64" s="382">
        <v>3</v>
      </c>
      <c r="D64" s="382">
        <v>97941.129665520406</v>
      </c>
      <c r="E64" s="382">
        <v>0</v>
      </c>
      <c r="F64" s="382">
        <v>0</v>
      </c>
    </row>
    <row r="65" spans="1:6">
      <c r="A65" s="397" t="s">
        <v>56</v>
      </c>
      <c r="B65" s="397" t="s">
        <v>58</v>
      </c>
      <c r="C65" s="382">
        <v>0</v>
      </c>
      <c r="D65" s="382">
        <v>0</v>
      </c>
      <c r="E65" s="382">
        <v>0</v>
      </c>
      <c r="F65" s="382">
        <v>0</v>
      </c>
    </row>
    <row r="66" spans="1:6">
      <c r="A66" s="404" t="s">
        <v>56</v>
      </c>
      <c r="B66" s="404" t="s">
        <v>59</v>
      </c>
      <c r="C66" s="382">
        <v>0</v>
      </c>
      <c r="D66" s="382">
        <v>0</v>
      </c>
      <c r="E66" s="382">
        <v>0</v>
      </c>
      <c r="F66" s="382">
        <v>0</v>
      </c>
    </row>
    <row r="67" spans="1:6">
      <c r="A67" s="390" t="s">
        <v>56</v>
      </c>
      <c r="B67" s="390" t="s">
        <v>60</v>
      </c>
      <c r="C67" s="382">
        <v>3</v>
      </c>
      <c r="D67" s="382">
        <v>210265.18802332901</v>
      </c>
      <c r="E67" s="382">
        <v>15</v>
      </c>
      <c r="F67" s="382">
        <v>1287356.9497499999</v>
      </c>
    </row>
    <row r="68" spans="1:6" ht="15.75" thickBot="1">
      <c r="A68" s="392"/>
      <c r="B68" s="382"/>
      <c r="C68" s="382"/>
      <c r="D68" s="382"/>
      <c r="E68" s="382"/>
      <c r="F68" s="382"/>
    </row>
    <row r="69" spans="1:6" ht="19.5">
      <c r="A69" s="385" t="s">
        <v>61</v>
      </c>
      <c r="B69" s="386" t="s">
        <v>457</v>
      </c>
      <c r="C69" s="386" t="s">
        <v>461</v>
      </c>
      <c r="D69" s="386"/>
      <c r="E69" s="386" t="s">
        <v>772</v>
      </c>
      <c r="F69" s="393"/>
    </row>
    <row r="70" spans="1:6" ht="20.25" thickBot="1">
      <c r="A70" s="406"/>
      <c r="B70" s="407"/>
      <c r="C70" s="408" t="s">
        <v>523</v>
      </c>
      <c r="D70" s="407"/>
      <c r="E70" s="407"/>
      <c r="F70" s="409"/>
    </row>
    <row r="71" spans="1:6" ht="16.5" thickTop="1" thickBot="1">
      <c r="A71" s="394" t="s">
        <v>62</v>
      </c>
      <c r="B71" s="395" t="s">
        <v>63</v>
      </c>
      <c r="C71" s="410">
        <v>2011</v>
      </c>
      <c r="D71" s="410">
        <v>2020</v>
      </c>
      <c r="E71" s="395"/>
      <c r="F71" s="396"/>
    </row>
    <row r="72" spans="1:6">
      <c r="A72" s="397" t="s">
        <v>64</v>
      </c>
      <c r="B72" s="397" t="s">
        <v>65</v>
      </c>
      <c r="C72" s="382">
        <v>939120</v>
      </c>
      <c r="D72" s="382">
        <v>4016852</v>
      </c>
      <c r="E72" s="382"/>
      <c r="F72" s="382"/>
    </row>
    <row r="73" spans="1:6">
      <c r="A73" s="397" t="s">
        <v>64</v>
      </c>
      <c r="B73" s="397" t="s">
        <v>66</v>
      </c>
      <c r="C73" s="382">
        <v>53002119</v>
      </c>
      <c r="D73" s="382">
        <v>95277060</v>
      </c>
      <c r="E73" s="382"/>
      <c r="F73" s="382"/>
    </row>
    <row r="74" spans="1:6">
      <c r="A74" s="397" t="s">
        <v>64</v>
      </c>
      <c r="B74" s="397" t="s">
        <v>67</v>
      </c>
      <c r="C74" s="382">
        <v>2972427</v>
      </c>
      <c r="D74" s="382">
        <v>6215815</v>
      </c>
      <c r="E74" s="382"/>
      <c r="F74" s="382"/>
    </row>
    <row r="75" spans="1:6">
      <c r="A75" s="397" t="s">
        <v>68</v>
      </c>
      <c r="B75" s="397" t="s">
        <v>65</v>
      </c>
      <c r="C75" s="382">
        <v>474428</v>
      </c>
      <c r="D75" s="382">
        <v>516655</v>
      </c>
      <c r="E75" s="382"/>
      <c r="F75" s="382"/>
    </row>
    <row r="76" spans="1:6">
      <c r="A76" s="397" t="s">
        <v>68</v>
      </c>
      <c r="B76" s="397" t="s">
        <v>66</v>
      </c>
      <c r="C76" s="382">
        <v>22358063</v>
      </c>
      <c r="D76" s="382">
        <v>24688640</v>
      </c>
      <c r="E76" s="382"/>
      <c r="F76" s="382"/>
    </row>
    <row r="77" spans="1:6">
      <c r="A77" s="397" t="s">
        <v>68</v>
      </c>
      <c r="B77" s="397" t="s">
        <v>67</v>
      </c>
      <c r="C77" s="382">
        <v>1027822</v>
      </c>
      <c r="D77" s="382">
        <v>1032885</v>
      </c>
      <c r="E77" s="382"/>
      <c r="F77" s="382"/>
    </row>
    <row r="78" spans="1:6">
      <c r="A78" s="397" t="s">
        <v>69</v>
      </c>
      <c r="B78" s="397" t="s">
        <v>65</v>
      </c>
      <c r="C78" s="382">
        <v>0</v>
      </c>
      <c r="D78" s="382">
        <v>0</v>
      </c>
      <c r="E78" s="382"/>
      <c r="F78" s="382"/>
    </row>
    <row r="79" spans="1:6">
      <c r="A79" s="397" t="s">
        <v>69</v>
      </c>
      <c r="B79" s="397" t="s">
        <v>66</v>
      </c>
      <c r="C79" s="382">
        <v>0</v>
      </c>
      <c r="D79" s="382">
        <v>0</v>
      </c>
      <c r="E79" s="382"/>
      <c r="F79" s="382"/>
    </row>
    <row r="80" spans="1:6">
      <c r="A80" s="390" t="s">
        <v>69</v>
      </c>
      <c r="B80" s="390" t="s">
        <v>67</v>
      </c>
      <c r="C80" s="390">
        <v>0</v>
      </c>
      <c r="D80" s="390">
        <v>0</v>
      </c>
      <c r="E80" s="391"/>
      <c r="F80" s="391"/>
    </row>
    <row r="81" spans="1:6">
      <c r="A81" s="411"/>
      <c r="B81" s="411"/>
      <c r="C81" s="382"/>
      <c r="D81" s="382"/>
      <c r="E81" s="382"/>
      <c r="F81" s="382"/>
    </row>
    <row r="82" spans="1:6" ht="15.75" thickBot="1">
      <c r="A82" s="411"/>
      <c r="B82" s="411"/>
      <c r="C82" s="382"/>
      <c r="D82" s="382"/>
      <c r="E82" s="382"/>
      <c r="F82" s="382"/>
    </row>
    <row r="83" spans="1:6" ht="20.25" thickBot="1">
      <c r="A83" s="385" t="s">
        <v>367</v>
      </c>
      <c r="B83" s="412" t="s">
        <v>434</v>
      </c>
      <c r="C83" s="386" t="s">
        <v>663</v>
      </c>
      <c r="D83" s="386"/>
      <c r="E83" s="386"/>
      <c r="F83" s="393"/>
    </row>
    <row r="84" spans="1:6" ht="16.5" thickTop="1" thickBot="1">
      <c r="A84" s="394" t="s">
        <v>368</v>
      </c>
      <c r="B84" s="410">
        <v>2011</v>
      </c>
      <c r="C84" s="410">
        <v>2020</v>
      </c>
      <c r="D84" s="395"/>
      <c r="E84" s="395"/>
      <c r="F84" s="396"/>
    </row>
    <row r="85" spans="1:6">
      <c r="A85" s="397" t="s">
        <v>369</v>
      </c>
      <c r="B85" s="382">
        <v>277186.84788209287</v>
      </c>
      <c r="C85" s="382">
        <v>277186.84788209287</v>
      </c>
      <c r="D85" s="382"/>
      <c r="E85" s="382"/>
      <c r="F85" s="382"/>
    </row>
    <row r="86" spans="1:6">
      <c r="A86" s="390" t="s">
        <v>370</v>
      </c>
      <c r="B86" s="391">
        <v>401326.4139511775</v>
      </c>
      <c r="C86" s="391">
        <v>371282.84990470315</v>
      </c>
      <c r="D86" s="391"/>
      <c r="E86" s="391"/>
      <c r="F86" s="391"/>
    </row>
    <row r="87" spans="1:6">
      <c r="A87" s="411"/>
      <c r="B87" s="413"/>
      <c r="C87" s="382"/>
      <c r="D87" s="382"/>
      <c r="E87" s="382"/>
      <c r="F87" s="382"/>
    </row>
    <row r="88" spans="1:6" ht="15.75" thickBot="1">
      <c r="A88" s="392"/>
      <c r="B88" s="382"/>
      <c r="C88" s="382"/>
      <c r="D88" s="382"/>
      <c r="E88" s="382"/>
      <c r="F88" s="382"/>
    </row>
    <row r="89" spans="1:6" ht="20.25" thickBot="1">
      <c r="A89" s="385" t="s">
        <v>70</v>
      </c>
      <c r="B89" s="386" t="s">
        <v>434</v>
      </c>
      <c r="C89" s="386" t="s">
        <v>496</v>
      </c>
      <c r="D89" s="386"/>
      <c r="E89" s="386"/>
      <c r="F89" s="393"/>
    </row>
    <row r="90" spans="1:6" ht="16.5" thickTop="1" thickBot="1">
      <c r="A90" s="394" t="s">
        <v>4</v>
      </c>
      <c r="B90" s="395" t="s">
        <v>174</v>
      </c>
      <c r="C90" s="395"/>
      <c r="D90" s="395"/>
      <c r="E90" s="395"/>
      <c r="F90" s="396"/>
    </row>
    <row r="91" spans="1:6">
      <c r="A91" s="397" t="s">
        <v>652</v>
      </c>
      <c r="B91" s="382">
        <v>0</v>
      </c>
      <c r="C91" s="382"/>
      <c r="D91" s="382"/>
      <c r="E91" s="382"/>
      <c r="F91" s="382"/>
    </row>
    <row r="92" spans="1:6">
      <c r="A92" s="397" t="s">
        <v>653</v>
      </c>
      <c r="B92" s="969">
        <v>0</v>
      </c>
      <c r="C92" s="382"/>
      <c r="D92" s="382"/>
      <c r="E92" s="382"/>
      <c r="F92" s="382"/>
    </row>
    <row r="93" spans="1:6">
      <c r="A93" s="397" t="s">
        <v>71</v>
      </c>
      <c r="B93" s="382">
        <v>687</v>
      </c>
      <c r="C93" s="382"/>
      <c r="D93" s="382"/>
      <c r="E93" s="382"/>
      <c r="F93" s="382"/>
    </row>
    <row r="94" spans="1:6">
      <c r="A94" s="390" t="s">
        <v>72</v>
      </c>
      <c r="B94" s="391">
        <v>274</v>
      </c>
      <c r="C94" s="391"/>
      <c r="D94" s="391"/>
      <c r="E94" s="391"/>
      <c r="F94" s="391"/>
    </row>
    <row r="95" spans="1:6">
      <c r="A95" s="392"/>
      <c r="B95" s="382"/>
      <c r="C95" s="382"/>
      <c r="D95" s="382"/>
      <c r="E95" s="382"/>
      <c r="F95" s="382"/>
    </row>
    <row r="96" spans="1:6" ht="15.75" thickBot="1">
      <c r="A96" s="392"/>
      <c r="B96" s="382"/>
      <c r="C96" s="382"/>
      <c r="D96" s="382"/>
      <c r="E96" s="382"/>
      <c r="F96" s="382"/>
    </row>
    <row r="97" spans="1:6" ht="20.25" thickBot="1">
      <c r="A97" s="385" t="s">
        <v>73</v>
      </c>
      <c r="B97" s="386" t="s">
        <v>434</v>
      </c>
      <c r="C97" s="386" t="s">
        <v>469</v>
      </c>
      <c r="D97" s="386"/>
      <c r="E97" s="386"/>
      <c r="F97" s="393"/>
    </row>
    <row r="98" spans="1:6" ht="16.5" thickTop="1" thickBot="1">
      <c r="A98" s="394" t="s">
        <v>4</v>
      </c>
      <c r="B98" s="395" t="s">
        <v>5</v>
      </c>
      <c r="C98" s="395"/>
      <c r="D98" s="395"/>
      <c r="E98" s="395"/>
      <c r="F98" s="396"/>
    </row>
    <row r="99" spans="1:6">
      <c r="A99" s="397" t="s">
        <v>74</v>
      </c>
      <c r="B99" s="382">
        <v>7129</v>
      </c>
      <c r="C99" s="382"/>
      <c r="D99" s="382"/>
      <c r="E99" s="382"/>
      <c r="F99" s="382"/>
    </row>
    <row r="100" spans="1:6">
      <c r="A100" s="397" t="s">
        <v>75</v>
      </c>
      <c r="B100" s="382">
        <v>9</v>
      </c>
      <c r="C100" s="382"/>
      <c r="D100" s="382"/>
      <c r="E100" s="382"/>
      <c r="F100" s="382"/>
    </row>
    <row r="101" spans="1:6">
      <c r="A101" s="397" t="s">
        <v>76</v>
      </c>
      <c r="B101" s="382">
        <v>16</v>
      </c>
      <c r="C101" s="382"/>
      <c r="D101" s="382"/>
      <c r="E101" s="382"/>
      <c r="F101" s="382"/>
    </row>
    <row r="102" spans="1:6">
      <c r="A102" s="397" t="s">
        <v>77</v>
      </c>
      <c r="B102" s="382">
        <v>538</v>
      </c>
      <c r="C102" s="382"/>
      <c r="D102" s="382"/>
      <c r="E102" s="382"/>
      <c r="F102" s="382"/>
    </row>
    <row r="103" spans="1:6">
      <c r="A103" s="397" t="s">
        <v>78</v>
      </c>
      <c r="B103" s="382">
        <v>33</v>
      </c>
      <c r="C103" s="382"/>
      <c r="D103" s="382"/>
      <c r="E103" s="382"/>
      <c r="F103" s="382"/>
    </row>
    <row r="104" spans="1:6">
      <c r="A104" s="397" t="s">
        <v>79</v>
      </c>
      <c r="B104" s="382">
        <v>143</v>
      </c>
      <c r="C104" s="382"/>
      <c r="D104" s="382"/>
      <c r="E104" s="382"/>
      <c r="F104" s="382"/>
    </row>
    <row r="105" spans="1:6">
      <c r="A105" s="397" t="s">
        <v>80</v>
      </c>
      <c r="B105" s="382">
        <v>56</v>
      </c>
      <c r="C105" s="382"/>
      <c r="D105" s="382"/>
      <c r="E105" s="382"/>
      <c r="F105" s="382"/>
    </row>
    <row r="106" spans="1:6">
      <c r="A106" s="397" t="s">
        <v>81</v>
      </c>
      <c r="B106" s="382">
        <v>2194</v>
      </c>
      <c r="C106" s="382"/>
      <c r="D106" s="382"/>
      <c r="E106" s="382"/>
      <c r="F106" s="382"/>
    </row>
    <row r="107" spans="1:6">
      <c r="A107" s="390" t="s">
        <v>82</v>
      </c>
      <c r="B107" s="390">
        <v>1</v>
      </c>
      <c r="C107" s="391"/>
      <c r="D107" s="391"/>
      <c r="E107" s="391"/>
      <c r="F107" s="391"/>
    </row>
    <row r="108" spans="1:6">
      <c r="A108" s="392"/>
      <c r="B108" s="382"/>
      <c r="C108" s="382"/>
      <c r="D108" s="382"/>
      <c r="E108" s="382"/>
      <c r="F108" s="382"/>
    </row>
    <row r="109" spans="1:6" ht="15.75" thickBot="1">
      <c r="A109" s="392"/>
      <c r="B109" s="382"/>
      <c r="C109" s="382"/>
      <c r="D109" s="382"/>
      <c r="E109" s="382"/>
      <c r="F109" s="382"/>
    </row>
    <row r="110" spans="1:6" ht="20.25" thickBot="1">
      <c r="A110" s="385" t="s">
        <v>83</v>
      </c>
      <c r="B110" s="386" t="s">
        <v>434</v>
      </c>
      <c r="C110" s="386" t="s">
        <v>458</v>
      </c>
      <c r="D110" s="386"/>
      <c r="E110" s="386"/>
      <c r="F110" s="393"/>
    </row>
    <row r="111" spans="1:6" ht="16.5" thickTop="1" thickBot="1">
      <c r="A111" s="414"/>
      <c r="B111" s="415" t="s">
        <v>84</v>
      </c>
      <c r="C111" s="415" t="s">
        <v>85</v>
      </c>
      <c r="D111" s="415"/>
      <c r="E111" s="415"/>
      <c r="F111" s="416"/>
    </row>
    <row r="112" spans="1:6" ht="16.5" thickTop="1" thickBot="1">
      <c r="A112" s="394" t="s">
        <v>4</v>
      </c>
      <c r="B112" s="395" t="s">
        <v>5</v>
      </c>
      <c r="C112" s="395" t="s">
        <v>5</v>
      </c>
      <c r="D112" s="395"/>
      <c r="E112" s="395"/>
      <c r="F112" s="396"/>
    </row>
    <row r="113" spans="1:6">
      <c r="A113" s="397" t="s">
        <v>86</v>
      </c>
      <c r="B113" s="382">
        <v>0</v>
      </c>
      <c r="C113" s="382">
        <v>0</v>
      </c>
      <c r="D113" s="382"/>
      <c r="E113" s="382"/>
      <c r="F113" s="382"/>
    </row>
    <row r="114" spans="1:6">
      <c r="A114" s="397" t="s">
        <v>87</v>
      </c>
      <c r="B114" s="382">
        <v>0</v>
      </c>
      <c r="C114" s="382">
        <v>0</v>
      </c>
      <c r="D114" s="382"/>
      <c r="E114" s="382"/>
      <c r="F114" s="382"/>
    </row>
    <row r="115" spans="1:6">
      <c r="A115" s="397" t="s">
        <v>32</v>
      </c>
      <c r="B115" s="382">
        <v>0</v>
      </c>
      <c r="C115" s="382">
        <v>0</v>
      </c>
      <c r="D115" s="382"/>
      <c r="E115" s="382"/>
      <c r="F115" s="382"/>
    </row>
    <row r="116" spans="1:6">
      <c r="A116" s="397" t="s">
        <v>88</v>
      </c>
      <c r="B116" s="382">
        <v>0</v>
      </c>
      <c r="C116" s="382">
        <v>0</v>
      </c>
      <c r="D116" s="382"/>
      <c r="E116" s="382"/>
      <c r="F116" s="382"/>
    </row>
    <row r="117" spans="1:6">
      <c r="A117" s="397" t="s">
        <v>89</v>
      </c>
      <c r="B117" s="382">
        <v>0</v>
      </c>
      <c r="C117" s="382">
        <v>0</v>
      </c>
      <c r="D117" s="382"/>
      <c r="E117" s="382"/>
      <c r="F117" s="382"/>
    </row>
    <row r="118" spans="1:6">
      <c r="A118" s="397" t="s">
        <v>90</v>
      </c>
      <c r="B118" s="382">
        <v>0</v>
      </c>
      <c r="C118" s="382">
        <v>0</v>
      </c>
      <c r="D118" s="382"/>
      <c r="E118" s="382"/>
      <c r="F118" s="382"/>
    </row>
    <row r="119" spans="1:6">
      <c r="A119" s="397" t="s">
        <v>91</v>
      </c>
      <c r="B119" s="382">
        <v>0</v>
      </c>
      <c r="C119" s="382">
        <v>5</v>
      </c>
      <c r="D119" s="382"/>
      <c r="E119" s="382"/>
      <c r="F119" s="382"/>
    </row>
    <row r="120" spans="1:6">
      <c r="A120" s="390" t="s">
        <v>92</v>
      </c>
      <c r="B120" s="382">
        <v>0</v>
      </c>
      <c r="C120" s="382">
        <v>0</v>
      </c>
      <c r="D120" s="391"/>
      <c r="E120" s="391"/>
      <c r="F120" s="391"/>
    </row>
    <row r="121" spans="1:6">
      <c r="A121" s="411"/>
      <c r="B121" s="382"/>
      <c r="C121" s="382"/>
      <c r="D121" s="382"/>
      <c r="E121" s="382"/>
      <c r="F121" s="382"/>
    </row>
    <row r="122" spans="1:6" ht="15.75" thickBot="1">
      <c r="A122" s="411"/>
      <c r="B122" s="382"/>
      <c r="C122" s="382"/>
      <c r="D122" s="382"/>
      <c r="E122" s="382"/>
      <c r="F122" s="382"/>
    </row>
    <row r="123" spans="1:6" ht="20.25" thickBot="1">
      <c r="A123" s="385" t="s">
        <v>306</v>
      </c>
      <c r="B123" s="386" t="s">
        <v>434</v>
      </c>
      <c r="C123" s="386" t="s">
        <v>458</v>
      </c>
      <c r="D123" s="386"/>
      <c r="E123" s="386"/>
      <c r="F123" s="393"/>
    </row>
    <row r="124" spans="1:6" ht="16.5" thickTop="1" thickBot="1">
      <c r="A124" s="394" t="s">
        <v>4</v>
      </c>
      <c r="B124" s="395" t="s">
        <v>5</v>
      </c>
      <c r="C124" s="395"/>
      <c r="D124" s="395"/>
      <c r="E124" s="395"/>
      <c r="F124" s="396"/>
    </row>
    <row r="125" spans="1:6">
      <c r="A125" s="397" t="s">
        <v>307</v>
      </c>
      <c r="B125" s="382">
        <v>50</v>
      </c>
      <c r="C125" s="382"/>
      <c r="D125" s="382"/>
      <c r="E125" s="382"/>
      <c r="F125" s="382"/>
    </row>
    <row r="126" spans="1:6">
      <c r="A126" s="397" t="s">
        <v>308</v>
      </c>
      <c r="B126" s="382">
        <v>1</v>
      </c>
      <c r="C126" s="382"/>
      <c r="D126" s="382"/>
      <c r="E126" s="382"/>
      <c r="F126" s="382"/>
    </row>
    <row r="127" spans="1:6">
      <c r="A127" s="397" t="s">
        <v>309</v>
      </c>
      <c r="B127" s="382">
        <v>0</v>
      </c>
      <c r="C127" s="382"/>
      <c r="D127" s="382"/>
      <c r="E127" s="382"/>
      <c r="F127" s="382"/>
    </row>
    <row r="128" spans="1:6">
      <c r="A128" s="390" t="s">
        <v>310</v>
      </c>
      <c r="B128" s="391">
        <v>0</v>
      </c>
      <c r="C128" s="391"/>
      <c r="D128" s="391"/>
      <c r="E128" s="391"/>
      <c r="F128" s="391"/>
    </row>
    <row r="129" spans="1:6">
      <c r="A129" s="382"/>
      <c r="B129" s="382"/>
      <c r="C129" s="382"/>
      <c r="D129" s="382"/>
      <c r="E129" s="382"/>
      <c r="F129" s="382"/>
    </row>
    <row r="130" spans="1:6">
      <c r="A130" s="413"/>
      <c r="B130" s="382"/>
      <c r="C130" s="382"/>
      <c r="D130" s="382"/>
      <c r="E130" s="382"/>
      <c r="F130" s="382"/>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sheetPr>
  <dimension ref="A1:N53"/>
  <sheetViews>
    <sheetView showGridLines="0" topLeftCell="A10" workbookViewId="0">
      <selection activeCell="B35" sqref="B35"/>
    </sheetView>
  </sheetViews>
  <sheetFormatPr defaultRowHeight="15"/>
  <cols>
    <col min="1" max="1" width="46.7109375" bestFit="1" customWidth="1"/>
    <col min="2" max="2" width="38.5703125" style="629" customWidth="1"/>
  </cols>
  <sheetData>
    <row r="1" spans="1:12" ht="18.75" thickBot="1">
      <c r="A1" s="136" t="s">
        <v>186</v>
      </c>
      <c r="B1" s="615"/>
    </row>
    <row r="2" spans="1:12">
      <c r="A2" s="57" t="s">
        <v>511</v>
      </c>
      <c r="B2" s="616"/>
    </row>
    <row r="3" spans="1:12">
      <c r="A3" s="57"/>
      <c r="B3" s="616"/>
    </row>
    <row r="4" spans="1:12" ht="18">
      <c r="A4" s="152" t="s">
        <v>187</v>
      </c>
      <c r="B4" s="617" t="s">
        <v>428</v>
      </c>
    </row>
    <row r="5" spans="1:12" ht="21">
      <c r="A5" s="131" t="s">
        <v>189</v>
      </c>
      <c r="B5" s="618"/>
      <c r="E5" s="19"/>
      <c r="F5" s="20"/>
      <c r="G5" s="20"/>
      <c r="H5" s="20"/>
      <c r="I5" s="20"/>
      <c r="J5" s="20"/>
    </row>
    <row r="6" spans="1:12">
      <c r="A6" s="132" t="s">
        <v>190</v>
      </c>
      <c r="B6" s="619">
        <v>2.742</v>
      </c>
      <c r="E6" s="21"/>
      <c r="F6" s="21"/>
      <c r="G6" s="21"/>
      <c r="H6" s="21"/>
      <c r="I6" s="21"/>
      <c r="J6" s="21"/>
      <c r="K6" s="21"/>
      <c r="L6" s="21"/>
    </row>
    <row r="7" spans="1:12">
      <c r="A7" s="132" t="s">
        <v>6</v>
      </c>
      <c r="B7" s="619">
        <v>134.57900000000001</v>
      </c>
      <c r="K7" s="21"/>
      <c r="L7" s="21"/>
    </row>
    <row r="8" spans="1:12">
      <c r="A8" s="132" t="s">
        <v>7</v>
      </c>
      <c r="B8" s="619">
        <v>82.272999999999996</v>
      </c>
      <c r="K8" s="21"/>
      <c r="L8" s="21"/>
    </row>
    <row r="9" spans="1:12">
      <c r="A9" s="132" t="s">
        <v>8</v>
      </c>
      <c r="B9" s="619">
        <v>25.797000000000001</v>
      </c>
      <c r="E9" s="21"/>
      <c r="F9" s="21"/>
      <c r="G9" s="21"/>
      <c r="H9" s="21"/>
      <c r="I9" s="21"/>
      <c r="J9" s="21"/>
      <c r="K9" s="21"/>
      <c r="L9" s="21"/>
    </row>
    <row r="10" spans="1:12">
      <c r="A10" s="132" t="s">
        <v>9</v>
      </c>
      <c r="B10" s="619">
        <v>47.158000000000001</v>
      </c>
      <c r="E10" s="22"/>
      <c r="F10" s="22"/>
      <c r="G10" s="22"/>
      <c r="H10" s="22"/>
      <c r="I10" s="22"/>
      <c r="J10" s="22"/>
      <c r="K10" s="21"/>
      <c r="L10" s="21"/>
    </row>
    <row r="11" spans="1:12">
      <c r="A11" s="132" t="s">
        <v>10</v>
      </c>
      <c r="B11" s="619">
        <v>50.453000000000003</v>
      </c>
      <c r="F11" s="22"/>
      <c r="G11" s="22"/>
      <c r="H11" s="22"/>
      <c r="I11" s="22"/>
      <c r="J11" s="22"/>
      <c r="K11" s="21"/>
      <c r="L11" s="21"/>
    </row>
    <row r="12" spans="1:12">
      <c r="A12" s="133" t="s">
        <v>16</v>
      </c>
      <c r="B12" s="619">
        <v>8</v>
      </c>
      <c r="E12" s="22"/>
      <c r="F12" s="21"/>
      <c r="G12" s="21"/>
      <c r="H12" s="21"/>
      <c r="I12" s="21"/>
      <c r="J12" s="21"/>
      <c r="K12" s="21"/>
      <c r="L12" s="21"/>
    </row>
    <row r="13" spans="1:12">
      <c r="A13" s="133" t="s">
        <v>17</v>
      </c>
      <c r="B13" s="619">
        <v>5</v>
      </c>
      <c r="E13" s="21"/>
      <c r="F13" s="21"/>
      <c r="G13" s="21"/>
      <c r="H13" s="21"/>
      <c r="I13" s="21"/>
      <c r="J13" s="21"/>
      <c r="K13" s="21"/>
      <c r="L13" s="21"/>
    </row>
    <row r="14" spans="1:12">
      <c r="A14" s="133" t="s">
        <v>191</v>
      </c>
      <c r="B14" s="619">
        <v>1.5</v>
      </c>
      <c r="E14" s="21"/>
      <c r="F14" s="21"/>
      <c r="G14" s="21"/>
      <c r="H14" s="21"/>
      <c r="I14" s="21"/>
      <c r="J14" s="21"/>
      <c r="K14" s="21"/>
      <c r="L14" s="21"/>
    </row>
    <row r="15" spans="1:12">
      <c r="A15" s="133" t="s">
        <v>192</v>
      </c>
      <c r="B15" s="619">
        <v>18</v>
      </c>
      <c r="E15" s="21"/>
      <c r="F15" s="21"/>
      <c r="G15" s="21"/>
      <c r="H15" s="21"/>
      <c r="I15" s="21"/>
      <c r="J15" s="21"/>
      <c r="K15" s="21"/>
      <c r="L15" s="21"/>
    </row>
    <row r="16" spans="1:12">
      <c r="A16" s="133" t="s">
        <v>193</v>
      </c>
      <c r="B16" s="620">
        <v>10</v>
      </c>
      <c r="E16" s="21"/>
      <c r="F16" s="21"/>
      <c r="G16" s="21"/>
      <c r="H16" s="21"/>
      <c r="I16" s="21"/>
      <c r="J16" s="21"/>
      <c r="K16" s="21"/>
      <c r="L16" s="21"/>
    </row>
    <row r="17" spans="1:12" s="56" customFormat="1" ht="15.75" thickBot="1">
      <c r="A17" s="134"/>
      <c r="B17" s="621"/>
      <c r="E17" s="172"/>
      <c r="F17" s="172"/>
      <c r="G17" s="172"/>
      <c r="H17" s="172"/>
      <c r="I17" s="172"/>
      <c r="J17" s="172"/>
      <c r="K17" s="172"/>
      <c r="L17" s="172"/>
    </row>
    <row r="18" spans="1:12" s="56" customFormat="1" ht="15.75" thickBot="1">
      <c r="A18" s="213"/>
      <c r="B18" s="622"/>
      <c r="E18" s="172"/>
      <c r="F18" s="172"/>
      <c r="G18" s="172"/>
      <c r="H18" s="172"/>
      <c r="I18" s="172"/>
      <c r="J18" s="172"/>
      <c r="K18" s="172"/>
      <c r="L18" s="172"/>
    </row>
    <row r="19" spans="1:12" ht="18.75" thickBot="1">
      <c r="A19" s="136" t="s">
        <v>194</v>
      </c>
      <c r="B19" s="615"/>
      <c r="E19" s="21"/>
      <c r="F19" s="21"/>
      <c r="G19" s="21"/>
      <c r="H19" s="21"/>
      <c r="I19" s="21"/>
      <c r="J19" s="21"/>
      <c r="K19" s="21"/>
      <c r="L19" s="21"/>
    </row>
    <row r="20" spans="1:12">
      <c r="A20" s="57" t="s">
        <v>511</v>
      </c>
      <c r="B20" s="616"/>
      <c r="E20" s="21"/>
      <c r="F20" s="21"/>
      <c r="G20" s="21"/>
      <c r="H20" s="21"/>
      <c r="I20" s="21"/>
      <c r="J20" s="21"/>
      <c r="K20" s="21"/>
      <c r="L20" s="21"/>
    </row>
    <row r="21" spans="1:12">
      <c r="A21" s="57"/>
      <c r="B21" s="616"/>
      <c r="E21" s="21"/>
      <c r="F21" s="21"/>
      <c r="G21" s="21"/>
      <c r="H21" s="21"/>
      <c r="I21" s="21"/>
      <c r="J21" s="21"/>
      <c r="K21" s="21"/>
      <c r="L21" s="21"/>
    </row>
    <row r="22" spans="1:12" ht="18">
      <c r="A22" s="153" t="s">
        <v>187</v>
      </c>
      <c r="B22" s="623" t="s">
        <v>428</v>
      </c>
      <c r="E22" s="21"/>
      <c r="F22" s="21"/>
      <c r="G22" s="21"/>
      <c r="H22" s="21"/>
      <c r="I22" s="21"/>
      <c r="J22" s="21"/>
      <c r="K22" s="21"/>
      <c r="L22" s="21"/>
    </row>
    <row r="23" spans="1:12" s="87" customFormat="1">
      <c r="A23" s="133" t="s">
        <v>189</v>
      </c>
      <c r="B23" s="619">
        <v>6.9</v>
      </c>
    </row>
    <row r="24" spans="1:12">
      <c r="A24" s="132" t="s">
        <v>190</v>
      </c>
      <c r="B24" s="619">
        <v>2</v>
      </c>
      <c r="E24" s="21"/>
      <c r="F24" s="21"/>
      <c r="G24" s="21"/>
      <c r="H24" s="21"/>
      <c r="I24" s="21"/>
      <c r="J24" s="21"/>
      <c r="K24" s="21"/>
      <c r="L24" s="21"/>
    </row>
    <row r="25" spans="1:12">
      <c r="A25" s="132" t="s">
        <v>6</v>
      </c>
      <c r="B25" s="619">
        <v>20.2</v>
      </c>
      <c r="E25" s="21"/>
      <c r="F25" s="21"/>
      <c r="G25" s="21"/>
      <c r="H25" s="21"/>
      <c r="I25" s="21"/>
      <c r="J25" s="21"/>
      <c r="K25" s="21"/>
      <c r="L25" s="21"/>
    </row>
    <row r="26" spans="1:12">
      <c r="A26" s="132" t="s">
        <v>7</v>
      </c>
      <c r="B26" s="619">
        <v>8.9</v>
      </c>
      <c r="E26" s="21"/>
      <c r="F26" s="21"/>
      <c r="G26" s="21"/>
      <c r="H26" s="21"/>
      <c r="I26" s="21"/>
      <c r="J26" s="21"/>
      <c r="K26" s="21"/>
      <c r="L26" s="21"/>
    </row>
    <row r="27" spans="1:12">
      <c r="A27" s="132" t="s">
        <v>8</v>
      </c>
      <c r="B27" s="619">
        <v>1.9</v>
      </c>
      <c r="E27" s="21"/>
      <c r="F27" s="21"/>
      <c r="G27" s="21"/>
      <c r="H27" s="21"/>
      <c r="I27" s="21"/>
      <c r="J27" s="21"/>
      <c r="K27" s="21"/>
      <c r="L27" s="21"/>
    </row>
    <row r="28" spans="1:12">
      <c r="A28" s="132" t="s">
        <v>9</v>
      </c>
      <c r="B28" s="619">
        <v>3.5</v>
      </c>
      <c r="E28" s="21"/>
      <c r="F28" s="21"/>
      <c r="G28" s="21"/>
      <c r="H28" s="21"/>
      <c r="I28" s="21"/>
      <c r="J28" s="21"/>
      <c r="K28" s="21"/>
      <c r="L28" s="21"/>
    </row>
    <row r="29" spans="1:12">
      <c r="A29" s="132" t="s">
        <v>10</v>
      </c>
      <c r="B29" s="619">
        <v>3.8</v>
      </c>
      <c r="E29" s="21"/>
      <c r="F29" s="21"/>
      <c r="G29" s="21"/>
      <c r="H29" s="21"/>
      <c r="I29" s="21"/>
      <c r="J29" s="21"/>
      <c r="K29" s="21"/>
      <c r="L29" s="21"/>
    </row>
    <row r="30" spans="1:12">
      <c r="A30" s="133" t="s">
        <v>191</v>
      </c>
      <c r="B30" s="619">
        <v>7.9</v>
      </c>
      <c r="E30" s="21"/>
      <c r="F30" s="21"/>
      <c r="G30" s="21"/>
      <c r="H30" s="21"/>
      <c r="I30" s="21"/>
      <c r="J30" s="21"/>
      <c r="K30" s="21"/>
      <c r="L30" s="21"/>
    </row>
    <row r="31" spans="1:12">
      <c r="A31" s="132" t="s">
        <v>11</v>
      </c>
      <c r="B31" s="619">
        <v>3.2</v>
      </c>
      <c r="E31" s="21"/>
      <c r="F31" s="21"/>
      <c r="G31" s="21"/>
      <c r="H31" s="21"/>
      <c r="I31" s="21"/>
      <c r="J31" s="21"/>
      <c r="K31" s="21"/>
      <c r="L31" s="21"/>
    </row>
    <row r="32" spans="1:12">
      <c r="A32" s="132" t="s">
        <v>12</v>
      </c>
      <c r="B32" s="619">
        <v>9.5</v>
      </c>
      <c r="E32" s="21"/>
      <c r="F32" s="21"/>
      <c r="G32" s="21"/>
      <c r="H32" s="21"/>
      <c r="I32" s="21"/>
      <c r="J32" s="21"/>
      <c r="K32" s="21"/>
      <c r="L32" s="21"/>
    </row>
    <row r="33" spans="1:14">
      <c r="A33" s="132" t="s">
        <v>13</v>
      </c>
      <c r="B33" s="619">
        <v>12.7</v>
      </c>
      <c r="E33" s="21"/>
      <c r="F33" s="21"/>
      <c r="G33" s="21"/>
      <c r="H33" s="21"/>
      <c r="I33" s="21"/>
      <c r="J33" s="21"/>
      <c r="K33" s="21"/>
      <c r="L33" s="21"/>
    </row>
    <row r="34" spans="1:14">
      <c r="A34" s="132" t="s">
        <v>14</v>
      </c>
      <c r="B34" s="619">
        <v>12.7</v>
      </c>
      <c r="E34" s="21"/>
      <c r="F34" s="21"/>
      <c r="G34" s="21"/>
      <c r="H34" s="21"/>
      <c r="I34" s="21"/>
      <c r="J34" s="21"/>
      <c r="K34" s="21"/>
      <c r="L34" s="21"/>
    </row>
    <row r="35" spans="1:14">
      <c r="A35" s="132" t="s">
        <v>15</v>
      </c>
      <c r="B35" s="619">
        <v>10</v>
      </c>
      <c r="E35" s="21"/>
      <c r="F35" s="21"/>
      <c r="G35" s="21"/>
      <c r="H35" s="21"/>
      <c r="I35" s="21"/>
      <c r="J35" s="21"/>
      <c r="K35" s="21"/>
      <c r="L35" s="21"/>
    </row>
    <row r="36" spans="1:14">
      <c r="A36" s="133" t="s">
        <v>16</v>
      </c>
      <c r="B36" s="619">
        <v>0.9</v>
      </c>
      <c r="E36" s="21"/>
      <c r="F36" s="21"/>
      <c r="G36" s="21"/>
      <c r="H36" s="21"/>
      <c r="I36" s="21"/>
      <c r="J36" s="21"/>
      <c r="K36" s="21"/>
      <c r="L36" s="21"/>
    </row>
    <row r="37" spans="1:14">
      <c r="A37" s="133" t="s">
        <v>17</v>
      </c>
      <c r="B37" s="619">
        <v>1</v>
      </c>
    </row>
    <row r="38" spans="1:14">
      <c r="A38" s="133" t="s">
        <v>192</v>
      </c>
      <c r="B38" s="619">
        <v>4</v>
      </c>
    </row>
    <row r="39" spans="1:14">
      <c r="A39" s="133" t="s">
        <v>193</v>
      </c>
      <c r="B39" s="619">
        <v>1.6</v>
      </c>
    </row>
    <row r="40" spans="1:14">
      <c r="A40" s="133" t="s">
        <v>18</v>
      </c>
      <c r="B40" s="620">
        <v>0.03</v>
      </c>
    </row>
    <row r="41" spans="1:14" ht="15.75" thickBot="1">
      <c r="A41" s="134"/>
      <c r="B41" s="624"/>
    </row>
    <row r="42" spans="1:14" s="56" customFormat="1" ht="15.75" thickBot="1">
      <c r="A42" s="214"/>
      <c r="B42" s="622"/>
      <c r="E42" s="215"/>
      <c r="F42" s="215"/>
      <c r="G42" s="215"/>
      <c r="H42" s="215"/>
      <c r="I42" s="215"/>
      <c r="J42" s="215"/>
      <c r="K42" s="215"/>
      <c r="L42" s="215"/>
      <c r="M42" s="215"/>
      <c r="N42" s="215"/>
    </row>
    <row r="43" spans="1:14" ht="15.75" thickBot="1">
      <c r="A43" s="136" t="s">
        <v>195</v>
      </c>
      <c r="B43" s="625"/>
    </row>
    <row r="44" spans="1:14">
      <c r="A44" s="57" t="s">
        <v>512</v>
      </c>
      <c r="B44" s="616"/>
    </row>
    <row r="45" spans="1:14">
      <c r="A45" s="57"/>
      <c r="B45" s="616"/>
    </row>
    <row r="46" spans="1:14" ht="18">
      <c r="A46" s="152" t="s">
        <v>196</v>
      </c>
      <c r="B46" s="617" t="s">
        <v>683</v>
      </c>
    </row>
    <row r="47" spans="1:14">
      <c r="A47" s="131" t="s">
        <v>197</v>
      </c>
      <c r="B47" s="626">
        <v>0.47699999999999998</v>
      </c>
    </row>
    <row r="48" spans="1:14">
      <c r="A48" s="133" t="s">
        <v>198</v>
      </c>
      <c r="B48" s="619">
        <v>0.749</v>
      </c>
    </row>
    <row r="49" spans="1:12">
      <c r="A49" s="133" t="s">
        <v>191</v>
      </c>
      <c r="B49" s="619">
        <v>2.5000000000000001E-2</v>
      </c>
    </row>
    <row r="50" spans="1:12">
      <c r="A50" s="133" t="s">
        <v>18</v>
      </c>
      <c r="B50" s="619">
        <v>1.4E-2</v>
      </c>
      <c r="E50" s="21"/>
      <c r="F50" s="21"/>
      <c r="G50" s="21"/>
      <c r="H50" s="21"/>
      <c r="I50" s="21"/>
      <c r="J50" s="21"/>
      <c r="K50" s="21"/>
      <c r="L50" s="21"/>
    </row>
    <row r="51" spans="1:12">
      <c r="A51" s="133" t="s">
        <v>16</v>
      </c>
      <c r="B51" s="619">
        <v>2E-3</v>
      </c>
      <c r="E51" s="21"/>
      <c r="F51" s="21"/>
      <c r="G51" s="21"/>
      <c r="H51" s="21"/>
      <c r="I51" s="21"/>
      <c r="J51" s="21"/>
      <c r="K51" s="21"/>
      <c r="L51" s="21"/>
    </row>
    <row r="52" spans="1:12" ht="15.75" thickBot="1">
      <c r="A52" s="134" t="s">
        <v>130</v>
      </c>
      <c r="B52" s="627">
        <v>4.9000000000000002E-2</v>
      </c>
    </row>
    <row r="53" spans="1:12">
      <c r="B53" s="628"/>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0.34998626667073579"/>
  </sheetPr>
  <dimension ref="A1:D19"/>
  <sheetViews>
    <sheetView showGridLines="0" workbookViewId="0">
      <selection activeCell="A5" sqref="A5:XFD5"/>
    </sheetView>
  </sheetViews>
  <sheetFormatPr defaultRowHeight="15"/>
  <cols>
    <col min="1" max="1" width="80" customWidth="1"/>
    <col min="2" max="2" width="36" style="554" customWidth="1"/>
    <col min="3" max="3" width="70.28515625" style="632" customWidth="1"/>
  </cols>
  <sheetData>
    <row r="1" spans="1:3" s="382" customFormat="1" ht="15.75" thickBot="1">
      <c r="A1" s="457" t="s">
        <v>752</v>
      </c>
      <c r="B1" s="630"/>
      <c r="C1" s="631"/>
    </row>
    <row r="2" spans="1:3" s="382" customFormat="1">
      <c r="A2" s="461"/>
      <c r="B2" s="595"/>
      <c r="C2" s="633"/>
    </row>
    <row r="3" spans="1:3" s="382" customFormat="1">
      <c r="A3" s="459"/>
      <c r="B3" s="634">
        <v>2011</v>
      </c>
      <c r="C3" s="462" t="s">
        <v>188</v>
      </c>
    </row>
    <row r="4" spans="1:3">
      <c r="A4" s="135" t="s">
        <v>314</v>
      </c>
      <c r="B4" s="635">
        <v>6050.9562999999998</v>
      </c>
      <c r="C4" s="154" t="s">
        <v>505</v>
      </c>
    </row>
    <row r="5" spans="1:3" ht="15.75" thickBot="1">
      <c r="A5" s="130" t="s">
        <v>751</v>
      </c>
      <c r="B5" s="636">
        <v>672548</v>
      </c>
      <c r="C5" s="155" t="s">
        <v>749</v>
      </c>
    </row>
    <row r="19" spans="4:4">
      <c r="D19" s="6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5"/>
  <sheetViews>
    <sheetView showGridLines="0" workbookViewId="0">
      <selection activeCell="B35" sqref="B35"/>
    </sheetView>
  </sheetViews>
  <sheetFormatPr defaultRowHeight="15"/>
  <cols>
    <col min="1" max="1" width="32.42578125" customWidth="1"/>
    <col min="2" max="2" width="57.42578125" customWidth="1"/>
  </cols>
  <sheetData>
    <row r="1" spans="1:2" s="382" customFormat="1" ht="15.75" thickBot="1">
      <c r="A1" s="457" t="s">
        <v>524</v>
      </c>
      <c r="B1" s="458"/>
    </row>
    <row r="2" spans="1:2" s="382" customFormat="1">
      <c r="A2" s="449" t="s">
        <v>513</v>
      </c>
      <c r="B2" s="456"/>
    </row>
    <row r="3" spans="1:2" s="382" customFormat="1" ht="18">
      <c r="A3" s="459"/>
      <c r="B3" s="460" t="s">
        <v>527</v>
      </c>
    </row>
    <row r="4" spans="1:2" ht="18">
      <c r="A4" s="135" t="s">
        <v>525</v>
      </c>
      <c r="B4" s="637">
        <v>310</v>
      </c>
    </row>
    <row r="5" spans="1:2" ht="18.75" thickBot="1">
      <c r="A5" s="130" t="s">
        <v>526</v>
      </c>
      <c r="B5" s="638">
        <v>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34998626667073579"/>
  </sheetPr>
  <dimension ref="A1:M4"/>
  <sheetViews>
    <sheetView showGridLines="0" workbookViewId="0">
      <selection activeCell="D4" sqref="D4"/>
    </sheetView>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82" customFormat="1" ht="22.5" customHeight="1" thickBot="1">
      <c r="A1" s="453"/>
      <c r="B1" s="454" t="s">
        <v>205</v>
      </c>
      <c r="C1" s="454" t="s">
        <v>206</v>
      </c>
      <c r="D1" s="454" t="s">
        <v>207</v>
      </c>
      <c r="E1" s="454" t="s">
        <v>208</v>
      </c>
      <c r="F1" s="454" t="s">
        <v>123</v>
      </c>
      <c r="G1" s="454" t="s">
        <v>209</v>
      </c>
      <c r="H1" s="454" t="s">
        <v>210</v>
      </c>
      <c r="I1" s="454" t="s">
        <v>211</v>
      </c>
      <c r="J1" s="454" t="s">
        <v>212</v>
      </c>
      <c r="K1" s="454" t="s">
        <v>213</v>
      </c>
      <c r="L1" s="454" t="s">
        <v>214</v>
      </c>
      <c r="M1" s="455" t="s">
        <v>304</v>
      </c>
    </row>
    <row r="2" spans="1:13" s="382" customFormat="1">
      <c r="A2" s="449" t="s">
        <v>513</v>
      </c>
      <c r="B2" s="405"/>
      <c r="C2" s="405"/>
      <c r="D2" s="405"/>
      <c r="E2" s="405"/>
      <c r="F2" s="405"/>
      <c r="G2" s="405"/>
      <c r="H2" s="405"/>
      <c r="I2" s="405"/>
      <c r="J2" s="405"/>
      <c r="K2" s="405"/>
      <c r="L2" s="405"/>
      <c r="M2" s="456"/>
    </row>
    <row r="3" spans="1:13">
      <c r="A3" s="57"/>
      <c r="B3" s="56"/>
      <c r="C3" s="56"/>
      <c r="D3" s="56"/>
      <c r="E3" s="56"/>
      <c r="F3" s="56"/>
      <c r="G3" s="56"/>
      <c r="H3" s="56"/>
      <c r="I3" s="56"/>
      <c r="J3" s="56"/>
      <c r="K3" s="56"/>
      <c r="L3" s="56"/>
      <c r="M3" s="111"/>
    </row>
    <row r="4" spans="1:13" ht="15.75" thickBot="1">
      <c r="A4" s="236" t="s">
        <v>514</v>
      </c>
      <c r="B4" s="364">
        <v>0.20200000000000001</v>
      </c>
      <c r="C4" s="364">
        <v>0.22700000000000001</v>
      </c>
      <c r="D4" s="364">
        <v>0.26700000000000002</v>
      </c>
      <c r="E4" s="364">
        <v>0.26700000000000002</v>
      </c>
      <c r="F4" s="364">
        <v>0.249</v>
      </c>
      <c r="G4" s="364">
        <v>0.35099999999999998</v>
      </c>
      <c r="H4" s="364">
        <v>0.35399999999999998</v>
      </c>
      <c r="I4" s="364">
        <v>0.26400000000000001</v>
      </c>
      <c r="J4" s="364">
        <v>0</v>
      </c>
      <c r="K4" s="364">
        <v>0</v>
      </c>
      <c r="L4" s="364">
        <v>0</v>
      </c>
      <c r="M4" s="365">
        <v>0.33</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34998626667073579"/>
  </sheetPr>
  <dimension ref="A1:K34"/>
  <sheetViews>
    <sheetView showGridLines="0" workbookViewId="0">
      <selection activeCell="B6" sqref="B6"/>
    </sheetView>
  </sheetViews>
  <sheetFormatPr defaultRowHeight="15"/>
  <cols>
    <col min="1" max="1" width="82.7109375" style="382" customWidth="1"/>
    <col min="2" max="2" width="30.28515625" customWidth="1"/>
    <col min="3" max="3" width="12" customWidth="1"/>
    <col min="5" max="5" width="135.42578125" customWidth="1"/>
    <col min="6" max="6" width="19.28515625" customWidth="1"/>
    <col min="8" max="8" width="23.42578125" customWidth="1"/>
  </cols>
  <sheetData>
    <row r="1" spans="1:11">
      <c r="A1" s="448" t="s">
        <v>575</v>
      </c>
      <c r="B1" s="216"/>
      <c r="C1" s="216"/>
      <c r="D1" s="216"/>
      <c r="E1" s="216"/>
      <c r="F1" s="216"/>
      <c r="G1" s="216"/>
      <c r="H1" s="216"/>
      <c r="I1" s="216"/>
      <c r="J1" s="216"/>
      <c r="K1" s="217"/>
    </row>
    <row r="2" spans="1:11">
      <c r="A2" s="449"/>
      <c r="B2" s="56"/>
      <c r="C2" s="56"/>
      <c r="D2" s="56"/>
      <c r="E2" s="56"/>
      <c r="F2" s="56"/>
      <c r="G2" s="56"/>
      <c r="H2" s="56"/>
      <c r="I2" s="56"/>
      <c r="J2" s="56"/>
      <c r="K2" s="111"/>
    </row>
    <row r="3" spans="1:11">
      <c r="A3" s="449" t="s">
        <v>597</v>
      </c>
      <c r="B3" s="62">
        <f ca="1">IF(ISERROR('SEAP template'!B20),0,'SEAP template'!B20)</f>
        <v>71718.082917777065</v>
      </c>
      <c r="C3" s="56" t="s">
        <v>174</v>
      </c>
      <c r="D3" s="56"/>
      <c r="E3" s="172"/>
      <c r="F3" s="56"/>
      <c r="G3" s="56"/>
      <c r="H3" s="56"/>
      <c r="I3" s="56"/>
      <c r="J3" s="56"/>
      <c r="K3" s="111"/>
    </row>
    <row r="4" spans="1:11">
      <c r="A4" s="449" t="s">
        <v>175</v>
      </c>
      <c r="B4" s="62">
        <f>IF(ISERROR('SEAP template'!B63),0,'SEAP template'!B63)</f>
        <v>961</v>
      </c>
      <c r="C4" s="56" t="s">
        <v>174</v>
      </c>
      <c r="D4" s="56"/>
      <c r="E4" s="56"/>
      <c r="F4" s="56"/>
      <c r="G4" s="56"/>
      <c r="H4" s="56"/>
      <c r="I4" s="56"/>
      <c r="J4" s="56"/>
      <c r="K4" s="111"/>
    </row>
    <row r="5" spans="1:11" ht="15.75" thickBot="1">
      <c r="A5" s="449" t="s">
        <v>637</v>
      </c>
      <c r="B5" s="62">
        <f>IF(ISERROR('Eigen informatie GS &amp; warmtenet'!B4),0,'Eigen informatie GS &amp; warmtenet'!B4)</f>
        <v>0</v>
      </c>
      <c r="C5" s="56" t="s">
        <v>174</v>
      </c>
      <c r="D5" s="56"/>
      <c r="E5" s="56"/>
      <c r="F5" s="56"/>
      <c r="G5" s="56"/>
      <c r="H5" s="56"/>
      <c r="I5" s="56"/>
      <c r="J5" s="56"/>
      <c r="K5" s="111"/>
    </row>
    <row r="6" spans="1:11" ht="15.75" thickTop="1">
      <c r="A6" s="449" t="s">
        <v>176</v>
      </c>
      <c r="B6" s="640">
        <f>IF(ISERROR(F7/F8),0,F7/F8)</f>
        <v>0.20810012923950225</v>
      </c>
      <c r="C6" s="56" t="s">
        <v>177</v>
      </c>
      <c r="D6" s="56"/>
      <c r="E6" s="220" t="s">
        <v>528</v>
      </c>
      <c r="F6" s="221"/>
      <c r="G6" s="221"/>
      <c r="H6" s="222" t="s">
        <v>434</v>
      </c>
      <c r="I6" s="56"/>
      <c r="J6" s="56"/>
      <c r="K6" s="111"/>
    </row>
    <row r="7" spans="1:11">
      <c r="A7" s="449"/>
      <c r="B7" s="556"/>
      <c r="C7" s="56"/>
      <c r="D7" s="56"/>
      <c r="E7" s="223" t="s">
        <v>178</v>
      </c>
      <c r="F7" s="61">
        <f>17350.0194771393*1000</f>
        <v>17350019.477139302</v>
      </c>
      <c r="G7" s="56" t="s">
        <v>179</v>
      </c>
      <c r="H7" s="224" t="s">
        <v>529</v>
      </c>
      <c r="I7" s="56"/>
      <c r="J7" s="56"/>
      <c r="K7" s="111"/>
    </row>
    <row r="8" spans="1:11" ht="15.75" thickBot="1">
      <c r="A8" s="449"/>
      <c r="B8" s="556"/>
      <c r="C8" s="56"/>
      <c r="D8" s="56"/>
      <c r="E8" s="225" t="s">
        <v>180</v>
      </c>
      <c r="F8" s="226">
        <v>83373420</v>
      </c>
      <c r="G8" s="227" t="s">
        <v>174</v>
      </c>
      <c r="H8" s="346" t="s">
        <v>593</v>
      </c>
      <c r="I8" s="173"/>
      <c r="J8" s="56"/>
      <c r="K8" s="111"/>
    </row>
    <row r="9" spans="1:11" ht="15.75" thickTop="1">
      <c r="A9" s="449" t="s">
        <v>181</v>
      </c>
      <c r="B9" s="62">
        <f>IF(ISERROR('SEAP template'!M63),0,'SEAP template'!M63)</f>
        <v>0</v>
      </c>
      <c r="C9" s="56" t="s">
        <v>179</v>
      </c>
      <c r="D9" s="56"/>
      <c r="E9" s="56"/>
      <c r="F9" s="56"/>
      <c r="G9" s="56"/>
      <c r="H9" s="56"/>
      <c r="I9" s="56"/>
      <c r="J9" s="56"/>
      <c r="K9" s="111"/>
    </row>
    <row r="10" spans="1:11">
      <c r="A10" s="449" t="s">
        <v>471</v>
      </c>
      <c r="B10" s="61">
        <v>0</v>
      </c>
      <c r="C10" s="56" t="s">
        <v>179</v>
      </c>
      <c r="D10" s="172"/>
      <c r="E10" s="56"/>
      <c r="F10" s="56"/>
      <c r="G10" s="56"/>
      <c r="H10" s="56"/>
      <c r="I10" s="56"/>
      <c r="J10" s="56"/>
      <c r="K10" s="111"/>
    </row>
    <row r="11" spans="1:11">
      <c r="A11" s="449"/>
      <c r="B11" s="556"/>
      <c r="C11" s="56"/>
      <c r="D11" s="56"/>
      <c r="E11" s="56"/>
      <c r="F11" s="56"/>
      <c r="G11" s="56"/>
      <c r="H11" s="56"/>
      <c r="I11" s="56"/>
      <c r="J11" s="56"/>
      <c r="K11" s="111"/>
    </row>
    <row r="12" spans="1:11">
      <c r="A12" s="450" t="s">
        <v>182</v>
      </c>
      <c r="B12" s="639">
        <f ca="1">IF((B4+B5)&gt;B3,(B9+B10)/(B4+B5),((B3-B4-B5)*B6+B9+B10)/B3)</f>
        <v>0.20531165224649006</v>
      </c>
      <c r="C12" s="56" t="s">
        <v>177</v>
      </c>
      <c r="D12" s="56"/>
      <c r="E12" s="172"/>
      <c r="F12" s="56"/>
      <c r="G12" s="56"/>
      <c r="H12" s="56"/>
      <c r="I12" s="56"/>
      <c r="J12" s="56"/>
      <c r="K12" s="111"/>
    </row>
    <row r="13" spans="1:11" ht="15.75" thickBot="1">
      <c r="A13" s="451"/>
      <c r="B13" s="123"/>
      <c r="C13" s="123"/>
      <c r="D13" s="123"/>
      <c r="E13" s="123"/>
      <c r="F13" s="123"/>
      <c r="G13" s="123"/>
      <c r="H13" s="123"/>
      <c r="I13" s="123"/>
      <c r="J13" s="123"/>
      <c r="K13" s="124"/>
    </row>
    <row r="14" spans="1:11" s="56" customFormat="1" ht="15.75" thickBot="1">
      <c r="A14" s="405"/>
    </row>
    <row r="15" spans="1:11">
      <c r="A15" s="452" t="s">
        <v>576</v>
      </c>
      <c r="B15" s="218"/>
      <c r="C15" s="218"/>
      <c r="D15" s="218"/>
      <c r="E15" s="218"/>
      <c r="F15" s="218"/>
      <c r="G15" s="218"/>
      <c r="H15" s="218"/>
      <c r="I15" s="218"/>
      <c r="J15" s="218"/>
      <c r="K15" s="219"/>
    </row>
    <row r="16" spans="1:11">
      <c r="A16" s="449"/>
      <c r="B16" s="56"/>
      <c r="C16" s="56"/>
      <c r="D16" s="56"/>
      <c r="E16" s="56"/>
      <c r="F16" s="56"/>
      <c r="G16" s="56"/>
      <c r="H16" s="56"/>
      <c r="I16" s="56"/>
      <c r="J16" s="56"/>
      <c r="K16" s="111"/>
    </row>
    <row r="17" spans="1:11">
      <c r="A17" s="449" t="s">
        <v>183</v>
      </c>
      <c r="B17" s="62">
        <f>IF(ISERROR('SEAP template'!M75),0,'SEAP template'!M75)</f>
        <v>0</v>
      </c>
      <c r="C17" s="56" t="s">
        <v>179</v>
      </c>
      <c r="D17" s="56"/>
      <c r="E17" s="56"/>
      <c r="F17" s="56"/>
      <c r="G17" s="56"/>
      <c r="H17" s="56"/>
      <c r="I17" s="56"/>
      <c r="J17" s="56"/>
      <c r="K17" s="111"/>
    </row>
    <row r="18" spans="1:11">
      <c r="A18" s="449" t="s">
        <v>184</v>
      </c>
      <c r="B18" s="62">
        <f>IF(ISERROR('Eigen informatie GS &amp; warmtenet'!B50),0,'Eigen informatie GS &amp; warmtenet'!B50)</f>
        <v>0</v>
      </c>
      <c r="C18" s="56" t="s">
        <v>179</v>
      </c>
      <c r="D18" s="56"/>
      <c r="E18" s="56"/>
      <c r="F18" s="56"/>
      <c r="G18" s="56"/>
      <c r="H18" s="56"/>
      <c r="I18" s="56"/>
      <c r="J18" s="56"/>
      <c r="K18" s="111"/>
    </row>
    <row r="19" spans="1:11">
      <c r="A19" s="449" t="s">
        <v>315</v>
      </c>
      <c r="B19" s="62">
        <f>IF(ISERROR('Eigen informatie GS &amp; warmtenet'!B51),0,'Eigen informatie GS &amp; warmtenet'!B51)</f>
        <v>0</v>
      </c>
      <c r="C19" s="56" t="s">
        <v>179</v>
      </c>
      <c r="D19" s="56"/>
      <c r="E19" s="56"/>
      <c r="F19" s="56"/>
      <c r="G19" s="56"/>
      <c r="H19" s="56"/>
      <c r="I19" s="56"/>
      <c r="J19" s="56"/>
      <c r="K19" s="111"/>
    </row>
    <row r="20" spans="1:11">
      <c r="A20" s="449" t="s">
        <v>598</v>
      </c>
      <c r="B20" s="62">
        <f ca="1">IF(ISERROR('SEAP template'!C20),0,('SEAP template'!C20))</f>
        <v>0</v>
      </c>
      <c r="C20" s="56" t="s">
        <v>174</v>
      </c>
      <c r="D20" s="56"/>
      <c r="E20" s="172"/>
      <c r="F20" s="172"/>
      <c r="G20" s="56"/>
      <c r="H20" s="56"/>
      <c r="I20" s="56"/>
      <c r="J20" s="56"/>
      <c r="K20" s="111"/>
    </row>
    <row r="21" spans="1:11">
      <c r="A21" s="449"/>
      <c r="B21" s="56"/>
      <c r="C21" s="56"/>
      <c r="D21" s="56"/>
      <c r="E21" s="56"/>
      <c r="F21" s="56"/>
      <c r="G21" s="56"/>
      <c r="H21" s="56"/>
      <c r="I21" s="56"/>
      <c r="J21" s="56"/>
      <c r="K21" s="111"/>
    </row>
    <row r="22" spans="1:11" s="56" customFormat="1">
      <c r="A22" s="450" t="s">
        <v>185</v>
      </c>
      <c r="B22" s="641">
        <f ca="1">IF(B20=0,0,(B17+B18-B19)/B20)</f>
        <v>0</v>
      </c>
      <c r="C22" s="56" t="s">
        <v>177</v>
      </c>
      <c r="K22" s="111"/>
    </row>
    <row r="23" spans="1:11" ht="15.75" thickBot="1">
      <c r="A23" s="451"/>
      <c r="B23" s="123"/>
      <c r="C23" s="123"/>
      <c r="D23" s="123"/>
      <c r="E23" s="123"/>
      <c r="F23" s="123"/>
      <c r="G23" s="123"/>
      <c r="H23" s="123"/>
      <c r="I23" s="123"/>
      <c r="J23" s="123"/>
      <c r="K23" s="124"/>
    </row>
    <row r="34" spans="1:1">
      <c r="A34" s="382" t="s">
        <v>249</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filterMode="1">
    <tabColor theme="0" tint="-0.34998626667073579"/>
  </sheetPr>
  <dimension ref="A1:AC66"/>
  <sheetViews>
    <sheetView showGridLines="0" topLeftCell="A4" workbookViewId="0">
      <selection activeCell="A4" sqref="A4"/>
    </sheetView>
  </sheetViews>
  <sheetFormatPr defaultRowHeight="15"/>
  <cols>
    <col min="1" max="1" width="22.7109375" style="363" customWidth="1"/>
    <col min="2" max="2" width="31.42578125" style="363" customWidth="1"/>
    <col min="3" max="3" width="44.140625" style="363" bestFit="1" customWidth="1"/>
    <col min="4" max="4" width="22.28515625" style="363" customWidth="1"/>
    <col min="5" max="5" width="12.140625" style="363" customWidth="1"/>
    <col min="6" max="6" width="37.28515625" style="26" bestFit="1" customWidth="1"/>
    <col min="7" max="9" width="9.140625" style="26"/>
    <col min="10" max="10" width="12" style="26" bestFit="1" customWidth="1"/>
    <col min="11" max="16384" width="9.140625" style="26"/>
  </cols>
  <sheetData>
    <row r="1" spans="1:29" s="363" customFormat="1" ht="15.75" thickBot="1">
      <c r="A1" s="435" t="s">
        <v>321</v>
      </c>
      <c r="B1" s="436" t="s">
        <v>329</v>
      </c>
      <c r="C1" s="436" t="s">
        <v>348</v>
      </c>
      <c r="D1" s="436" t="s">
        <v>330</v>
      </c>
      <c r="E1" s="436" t="s">
        <v>331</v>
      </c>
      <c r="F1" s="437" t="s">
        <v>332</v>
      </c>
    </row>
    <row r="2" spans="1:29" s="441" customFormat="1">
      <c r="A2" s="1085" t="s">
        <v>615</v>
      </c>
      <c r="B2" s="1086"/>
      <c r="C2" s="1086"/>
      <c r="D2" s="1086"/>
      <c r="E2" s="1086"/>
      <c r="F2" s="1087"/>
      <c r="G2" s="438"/>
      <c r="H2" s="439"/>
      <c r="I2" s="439"/>
      <c r="J2" s="439"/>
      <c r="K2" s="438"/>
      <c r="L2" s="439"/>
      <c r="M2" s="439"/>
      <c r="N2" s="439"/>
      <c r="O2" s="439"/>
      <c r="P2" s="439"/>
      <c r="Q2" s="438"/>
      <c r="R2" s="438"/>
      <c r="S2" s="439"/>
      <c r="T2" s="439"/>
      <c r="U2" s="439"/>
      <c r="V2" s="439"/>
      <c r="W2" s="439"/>
      <c r="X2" s="439"/>
      <c r="Y2" s="439"/>
      <c r="Z2" s="439"/>
      <c r="AA2" s="440"/>
      <c r="AB2" s="440"/>
      <c r="AC2" s="439"/>
    </row>
    <row r="3" spans="1:29" s="169" customFormat="1">
      <c r="A3" s="442"/>
      <c r="B3" s="443"/>
      <c r="C3" s="443"/>
      <c r="D3" s="443"/>
      <c r="E3" s="443"/>
      <c r="F3" s="237"/>
      <c r="G3" s="166"/>
      <c r="H3" s="167"/>
      <c r="I3" s="167"/>
      <c r="J3" s="167"/>
      <c r="K3" s="166"/>
      <c r="L3" s="167"/>
      <c r="M3" s="167"/>
      <c r="N3" s="167"/>
      <c r="O3" s="167"/>
      <c r="P3" s="167"/>
      <c r="Q3" s="166"/>
      <c r="R3" s="166"/>
      <c r="S3" s="167"/>
      <c r="T3" s="167"/>
      <c r="U3" s="167"/>
      <c r="V3" s="167"/>
      <c r="W3" s="167"/>
      <c r="X3" s="167"/>
      <c r="Y3" s="167"/>
      <c r="Z3" s="167"/>
      <c r="AA3" s="168"/>
      <c r="AB3" s="168"/>
      <c r="AC3" s="167"/>
    </row>
    <row r="4" spans="1:29">
      <c r="A4" s="444" t="s">
        <v>66</v>
      </c>
      <c r="B4" s="445" t="s">
        <v>69</v>
      </c>
      <c r="C4" s="445" t="str">
        <f>CONCATENATE('ECF transport '!$A4,"_"&amp;'ECF transport '!$B4)</f>
        <v>Personenwagens_Snelwegen</v>
      </c>
      <c r="D4" s="445" t="s">
        <v>322</v>
      </c>
      <c r="E4" s="445" t="s">
        <v>322</v>
      </c>
      <c r="F4" s="513">
        <v>2.1946177187798E-9</v>
      </c>
    </row>
    <row r="5" spans="1:29">
      <c r="A5" s="446" t="s">
        <v>66</v>
      </c>
      <c r="B5" s="447" t="s">
        <v>64</v>
      </c>
      <c r="C5" s="447" t="str">
        <f>CONCATENATE('ECF transport '!$A5,"_"&amp;'ECF transport '!$B5)</f>
        <v>Personenwagens_Genummerde wegen</v>
      </c>
      <c r="D5" s="447" t="s">
        <v>322</v>
      </c>
      <c r="E5" s="447" t="s">
        <v>322</v>
      </c>
      <c r="F5" s="514">
        <v>2.0512637693855002E-9</v>
      </c>
    </row>
    <row r="6" spans="1:29">
      <c r="A6" s="446" t="s">
        <v>66</v>
      </c>
      <c r="B6" s="447" t="s">
        <v>68</v>
      </c>
      <c r="C6" s="447" t="str">
        <f>CONCATENATE('ECF transport '!$A6,"_"&amp;'ECF transport '!$B6)</f>
        <v>Personenwagens_Niet-genummerde wegen</v>
      </c>
      <c r="D6" s="447" t="s">
        <v>322</v>
      </c>
      <c r="E6" s="447" t="s">
        <v>322</v>
      </c>
      <c r="F6" s="514">
        <v>2.9997409583486E-9</v>
      </c>
    </row>
    <row r="7" spans="1:29" hidden="1">
      <c r="A7" s="446" t="s">
        <v>65</v>
      </c>
      <c r="B7" s="447" t="s">
        <v>69</v>
      </c>
      <c r="C7" s="447" t="str">
        <f>CONCATENATE('ECF transport '!$A7,"_"&amp;'ECF transport '!$B7)</f>
        <v>Lichte vrachtwagens_Snelwegen</v>
      </c>
      <c r="D7" s="447" t="s">
        <v>322</v>
      </c>
      <c r="E7" s="447" t="s">
        <v>322</v>
      </c>
      <c r="F7" s="514">
        <v>3.4420701084639998E-9</v>
      </c>
    </row>
    <row r="8" spans="1:29" hidden="1">
      <c r="A8" s="446" t="s">
        <v>65</v>
      </c>
      <c r="B8" s="447" t="s">
        <v>64</v>
      </c>
      <c r="C8" s="447" t="str">
        <f>CONCATENATE('ECF transport '!$A8,"_"&amp;'ECF transport '!$B8)</f>
        <v>Lichte vrachtwagens_Genummerde wegen</v>
      </c>
      <c r="D8" s="447" t="s">
        <v>322</v>
      </c>
      <c r="E8" s="447" t="s">
        <v>322</v>
      </c>
      <c r="F8" s="514">
        <v>3.1209941231080999E-9</v>
      </c>
    </row>
    <row r="9" spans="1:29" hidden="1">
      <c r="A9" s="446" t="s">
        <v>65</v>
      </c>
      <c r="B9" s="447" t="s">
        <v>68</v>
      </c>
      <c r="C9" s="447" t="str">
        <f>CONCATENATE('ECF transport '!$A9,"_"&amp;'ECF transport '!$B9)</f>
        <v>Lichte vrachtwagens_Niet-genummerde wegen</v>
      </c>
      <c r="D9" s="447" t="s">
        <v>322</v>
      </c>
      <c r="E9" s="447" t="s">
        <v>322</v>
      </c>
      <c r="F9" s="514">
        <v>5.1711431068948E-9</v>
      </c>
    </row>
    <row r="10" spans="1:29">
      <c r="A10" s="446" t="s">
        <v>66</v>
      </c>
      <c r="B10" s="447" t="s">
        <v>69</v>
      </c>
      <c r="C10" s="447" t="str">
        <f>CONCATENATE('ECF transport '!$A10,"_"&amp;'ECF transport '!$B10)</f>
        <v>Personenwagens_Snelwegen</v>
      </c>
      <c r="D10" s="447" t="s">
        <v>208</v>
      </c>
      <c r="E10" s="447" t="s">
        <v>208</v>
      </c>
      <c r="F10" s="514">
        <v>2.1757537844492001E-9</v>
      </c>
    </row>
    <row r="11" spans="1:29">
      <c r="A11" s="446" t="s">
        <v>66</v>
      </c>
      <c r="B11" s="447" t="s">
        <v>64</v>
      </c>
      <c r="C11" s="447" t="str">
        <f>CONCATENATE('ECF transport '!$A11,"_"&amp;'ECF transport '!$B11)</f>
        <v>Personenwagens_Genummerde wegen</v>
      </c>
      <c r="D11" s="447" t="s">
        <v>208</v>
      </c>
      <c r="E11" s="447" t="s">
        <v>208</v>
      </c>
      <c r="F11" s="514">
        <v>1.9798021455752E-9</v>
      </c>
    </row>
    <row r="12" spans="1:29">
      <c r="A12" s="446" t="s">
        <v>66</v>
      </c>
      <c r="B12" s="447" t="s">
        <v>68</v>
      </c>
      <c r="C12" s="447" t="str">
        <f>CONCATENATE('ECF transport '!$A12,"_"&amp;'ECF transport '!$B12)</f>
        <v>Personenwagens_Niet-genummerde wegen</v>
      </c>
      <c r="D12" s="447" t="s">
        <v>208</v>
      </c>
      <c r="E12" s="447" t="s">
        <v>208</v>
      </c>
      <c r="F12" s="514">
        <v>2.6189544606272998E-9</v>
      </c>
    </row>
    <row r="13" spans="1:29" hidden="1">
      <c r="A13" s="446" t="s">
        <v>67</v>
      </c>
      <c r="B13" s="447" t="s">
        <v>69</v>
      </c>
      <c r="C13" s="447" t="str">
        <f>CONCATENATE('ECF transport '!$A13,"_"&amp;'ECF transport '!$B13)</f>
        <v>Zware vrachtwagens_Snelwegen</v>
      </c>
      <c r="D13" s="447" t="s">
        <v>208</v>
      </c>
      <c r="E13" s="447" t="s">
        <v>208</v>
      </c>
      <c r="F13" s="514">
        <v>8.7947124647525996E-9</v>
      </c>
    </row>
    <row r="14" spans="1:29" hidden="1">
      <c r="A14" s="446" t="s">
        <v>67</v>
      </c>
      <c r="B14" s="447" t="s">
        <v>64</v>
      </c>
      <c r="C14" s="447" t="str">
        <f>CONCATENATE('ECF transport '!$A14,"_"&amp;'ECF transport '!$B14)</f>
        <v>Zware vrachtwagens_Genummerde wegen</v>
      </c>
      <c r="D14" s="447" t="s">
        <v>208</v>
      </c>
      <c r="E14" s="447" t="s">
        <v>208</v>
      </c>
      <c r="F14" s="514">
        <v>9.2466041217061999E-9</v>
      </c>
    </row>
    <row r="15" spans="1:29" hidden="1">
      <c r="A15" s="446" t="s">
        <v>67</v>
      </c>
      <c r="B15" s="447" t="s">
        <v>68</v>
      </c>
      <c r="C15" s="447" t="str">
        <f>CONCATENATE('ECF transport '!$A15,"_"&amp;'ECF transport '!$B15)</f>
        <v>Zware vrachtwagens_Niet-genummerde wegen</v>
      </c>
      <c r="D15" s="447" t="s">
        <v>208</v>
      </c>
      <c r="E15" s="447" t="s">
        <v>208</v>
      </c>
      <c r="F15" s="514">
        <v>1.2123315657188E-8</v>
      </c>
    </row>
    <row r="16" spans="1:29" hidden="1">
      <c r="A16" s="446" t="s">
        <v>65</v>
      </c>
      <c r="B16" s="447" t="s">
        <v>69</v>
      </c>
      <c r="C16" s="447" t="str">
        <f>CONCATENATE('ECF transport '!$A16,"_"&amp;'ECF transport '!$B16)</f>
        <v>Lichte vrachtwagens_Snelwegen</v>
      </c>
      <c r="D16" s="447" t="s">
        <v>208</v>
      </c>
      <c r="E16" s="447" t="s">
        <v>208</v>
      </c>
      <c r="F16" s="514">
        <v>4.0449250648173997E-9</v>
      </c>
    </row>
    <row r="17" spans="1:6" hidden="1">
      <c r="A17" s="446" t="s">
        <v>65</v>
      </c>
      <c r="B17" s="447" t="s">
        <v>64</v>
      </c>
      <c r="C17" s="447" t="str">
        <f>CONCATENATE('ECF transport '!$A17,"_"&amp;'ECF transport '!$B17)</f>
        <v>Lichte vrachtwagens_Genummerde wegen</v>
      </c>
      <c r="D17" s="447" t="s">
        <v>208</v>
      </c>
      <c r="E17" s="447" t="s">
        <v>208</v>
      </c>
      <c r="F17" s="514">
        <v>2.3764832167187002E-9</v>
      </c>
    </row>
    <row r="18" spans="1:6" hidden="1">
      <c r="A18" s="446" t="s">
        <v>65</v>
      </c>
      <c r="B18" s="447" t="s">
        <v>68</v>
      </c>
      <c r="C18" s="447" t="str">
        <f>CONCATENATE('ECF transport '!$A18,"_"&amp;'ECF transport '!$B18)</f>
        <v>Lichte vrachtwagens_Niet-genummerde wegen</v>
      </c>
      <c r="D18" s="447" t="s">
        <v>208</v>
      </c>
      <c r="E18" s="447" t="s">
        <v>208</v>
      </c>
      <c r="F18" s="514">
        <v>3.4983674577264999E-9</v>
      </c>
    </row>
    <row r="19" spans="1:6">
      <c r="A19" s="446" t="s">
        <v>66</v>
      </c>
      <c r="B19" s="447" t="s">
        <v>69</v>
      </c>
      <c r="C19" s="447" t="str">
        <f>CONCATENATE('ECF transport '!$A19,"_"&amp;'ECF transport '!$B19)</f>
        <v>Personenwagens_Snelwegen</v>
      </c>
      <c r="D19" s="447" t="s">
        <v>334</v>
      </c>
      <c r="E19" s="447" t="s">
        <v>208</v>
      </c>
      <c r="F19" s="514">
        <v>1.9493163332281001E-9</v>
      </c>
    </row>
    <row r="20" spans="1:6">
      <c r="A20" s="446" t="s">
        <v>66</v>
      </c>
      <c r="B20" s="447" t="s">
        <v>69</v>
      </c>
      <c r="C20" s="447" t="str">
        <f>CONCATENATE('ECF transport '!$A20,"_"&amp;'ECF transport '!$B20)</f>
        <v>Personenwagens_Snelwegen</v>
      </c>
      <c r="D20" s="447" t="s">
        <v>335</v>
      </c>
      <c r="E20" s="447" t="s">
        <v>208</v>
      </c>
      <c r="F20" s="514">
        <v>7.6733647702171996E-10</v>
      </c>
    </row>
    <row r="21" spans="1:6">
      <c r="A21" s="446" t="s">
        <v>66</v>
      </c>
      <c r="B21" s="447" t="s">
        <v>64</v>
      </c>
      <c r="C21" s="447" t="str">
        <f>CONCATENATE('ECF transport '!$A21,"_"&amp;'ECF transport '!$B21)</f>
        <v>Personenwagens_Genummerde wegen</v>
      </c>
      <c r="D21" s="447" t="s">
        <v>334</v>
      </c>
      <c r="E21" s="447" t="s">
        <v>208</v>
      </c>
      <c r="F21" s="514">
        <v>1.6565989995356001E-9</v>
      </c>
    </row>
    <row r="22" spans="1:6">
      <c r="A22" s="446" t="s">
        <v>66</v>
      </c>
      <c r="B22" s="447" t="s">
        <v>64</v>
      </c>
      <c r="C22" s="447" t="str">
        <f>CONCATENATE('ECF transport '!$A22,"_"&amp;'ECF transport '!$B22)</f>
        <v>Personenwagens_Genummerde wegen</v>
      </c>
      <c r="D22" s="447" t="s">
        <v>335</v>
      </c>
      <c r="E22" s="447" t="s">
        <v>208</v>
      </c>
      <c r="F22" s="514">
        <v>6.5028105694856E-10</v>
      </c>
    </row>
    <row r="23" spans="1:6">
      <c r="A23" s="446" t="s">
        <v>66</v>
      </c>
      <c r="B23" s="447" t="s">
        <v>68</v>
      </c>
      <c r="C23" s="447" t="str">
        <f>CONCATENATE('ECF transport '!$A23,"_"&amp;'ECF transport '!$B23)</f>
        <v>Personenwagens_Niet-genummerde wegen</v>
      </c>
      <c r="D23" s="447" t="s">
        <v>334</v>
      </c>
      <c r="E23" s="447" t="s">
        <v>208</v>
      </c>
      <c r="F23" s="514">
        <v>1.6650054813015E-9</v>
      </c>
    </row>
    <row r="24" spans="1:6">
      <c r="A24" s="446" t="s">
        <v>66</v>
      </c>
      <c r="B24" s="447" t="s">
        <v>68</v>
      </c>
      <c r="C24" s="447" t="str">
        <f>CONCATENATE('ECF transport '!$A24,"_"&amp;'ECF transport '!$B24)</f>
        <v>Personenwagens_Niet-genummerde wegen</v>
      </c>
      <c r="D24" s="447" t="s">
        <v>335</v>
      </c>
      <c r="E24" s="447" t="s">
        <v>208</v>
      </c>
      <c r="F24" s="514">
        <v>7.0518987578226996E-10</v>
      </c>
    </row>
    <row r="25" spans="1:6" hidden="1">
      <c r="A25" s="446" t="s">
        <v>65</v>
      </c>
      <c r="B25" s="447" t="s">
        <v>69</v>
      </c>
      <c r="C25" s="447" t="str">
        <f>CONCATENATE('ECF transport '!$A25,"_"&amp;'ECF transport '!$B25)</f>
        <v>Lichte vrachtwagens_Snelwegen</v>
      </c>
      <c r="D25" s="447" t="s">
        <v>334</v>
      </c>
      <c r="E25" s="447" t="s">
        <v>208</v>
      </c>
      <c r="F25" s="514">
        <v>3.2487257287075001E-9</v>
      </c>
    </row>
    <row r="26" spans="1:6" hidden="1">
      <c r="A26" s="446" t="s">
        <v>65</v>
      </c>
      <c r="B26" s="447" t="s">
        <v>69</v>
      </c>
      <c r="C26" s="447" t="str">
        <f>CONCATENATE('ECF transport '!$A26,"_"&amp;'ECF transport '!$B26)</f>
        <v>Lichte vrachtwagens_Snelwegen</v>
      </c>
      <c r="D26" s="447" t="s">
        <v>335</v>
      </c>
      <c r="E26" s="447" t="s">
        <v>208</v>
      </c>
      <c r="F26" s="514">
        <v>1.2950627863508E-9</v>
      </c>
    </row>
    <row r="27" spans="1:6" hidden="1">
      <c r="A27" s="446" t="s">
        <v>65</v>
      </c>
      <c r="B27" s="447" t="s">
        <v>64</v>
      </c>
      <c r="C27" s="447" t="str">
        <f>CONCATENATE('ECF transport '!$A27,"_"&amp;'ECF transport '!$B27)</f>
        <v>Lichte vrachtwagens_Genummerde wegen</v>
      </c>
      <c r="D27" s="447" t="s">
        <v>334</v>
      </c>
      <c r="E27" s="447" t="s">
        <v>208</v>
      </c>
      <c r="F27" s="514">
        <v>1.7429596527300999E-9</v>
      </c>
    </row>
    <row r="28" spans="1:6" hidden="1">
      <c r="A28" s="446" t="s">
        <v>65</v>
      </c>
      <c r="B28" s="447" t="s">
        <v>64</v>
      </c>
      <c r="C28" s="447" t="str">
        <f>CONCATENATE('ECF transport '!$A28,"_"&amp;'ECF transport '!$B28)</f>
        <v>Lichte vrachtwagens_Genummerde wegen</v>
      </c>
      <c r="D28" s="447" t="s">
        <v>335</v>
      </c>
      <c r="E28" s="447" t="s">
        <v>208</v>
      </c>
      <c r="F28" s="514">
        <v>6.9480635697848998E-10</v>
      </c>
    </row>
    <row r="29" spans="1:6" hidden="1">
      <c r="A29" s="446" t="s">
        <v>65</v>
      </c>
      <c r="B29" s="447" t="s">
        <v>68</v>
      </c>
      <c r="C29" s="447" t="str">
        <f>CONCATENATE('ECF transport '!$A29,"_"&amp;'ECF transport '!$B29)</f>
        <v>Lichte vrachtwagens_Niet-genummerde wegen</v>
      </c>
      <c r="D29" s="447" t="s">
        <v>334</v>
      </c>
      <c r="E29" s="447" t="s">
        <v>208</v>
      </c>
      <c r="F29" s="514">
        <v>1.9678403609053E-9</v>
      </c>
    </row>
    <row r="30" spans="1:6" hidden="1">
      <c r="A30" s="446" t="s">
        <v>65</v>
      </c>
      <c r="B30" s="447" t="s">
        <v>68</v>
      </c>
      <c r="C30" s="447" t="str">
        <f>CONCATENATE('ECF transport '!$A30,"_"&amp;'ECF transport '!$B30)</f>
        <v>Lichte vrachtwagens_Niet-genummerde wegen</v>
      </c>
      <c r="D30" s="447" t="s">
        <v>335</v>
      </c>
      <c r="E30" s="447" t="s">
        <v>208</v>
      </c>
      <c r="F30" s="514">
        <v>8.4632485436964996E-10</v>
      </c>
    </row>
    <row r="31" spans="1:6">
      <c r="A31" s="446" t="s">
        <v>66</v>
      </c>
      <c r="B31" s="447" t="s">
        <v>68</v>
      </c>
      <c r="C31" s="447" t="str">
        <f>CONCATENATE('ECF transport '!$A31,"_"&amp;'ECF transport '!$B31)</f>
        <v>Personenwagens_Niet-genummerde wegen</v>
      </c>
      <c r="D31" s="447" t="s">
        <v>323</v>
      </c>
      <c r="E31" s="447" t="s">
        <v>328</v>
      </c>
      <c r="F31" s="514">
        <v>7.2500021534830002E-10</v>
      </c>
    </row>
    <row r="32" spans="1:6">
      <c r="A32" s="446" t="s">
        <v>66</v>
      </c>
      <c r="B32" s="447" t="s">
        <v>64</v>
      </c>
      <c r="C32" s="447" t="str">
        <f>CONCATENATE('ECF transport '!$A32,"_"&amp;'ECF transport '!$B32)</f>
        <v>Personenwagens_Genummerde wegen</v>
      </c>
      <c r="D32" s="447" t="s">
        <v>323</v>
      </c>
      <c r="E32" s="447" t="s">
        <v>328</v>
      </c>
      <c r="F32" s="514">
        <v>7.2500021534830002E-10</v>
      </c>
    </row>
    <row r="33" spans="1:6">
      <c r="A33" s="446" t="s">
        <v>66</v>
      </c>
      <c r="B33" s="447" t="s">
        <v>69</v>
      </c>
      <c r="C33" s="447" t="str">
        <f>CONCATENATE('ECF transport '!$A33,"_"&amp;'ECF transport '!$B33)</f>
        <v>Personenwagens_Snelwegen</v>
      </c>
      <c r="D33" s="447" t="s">
        <v>323</v>
      </c>
      <c r="E33" s="447" t="s">
        <v>328</v>
      </c>
      <c r="F33" s="514">
        <v>7.2500021534830002E-10</v>
      </c>
    </row>
    <row r="34" spans="1:6" hidden="1">
      <c r="A34" s="446" t="s">
        <v>65</v>
      </c>
      <c r="B34" s="447" t="s">
        <v>68</v>
      </c>
      <c r="C34" s="447" t="str">
        <f>CONCATENATE('ECF transport '!$A34,"_"&amp;'ECF transport '!$B34)</f>
        <v>Lichte vrachtwagens_Niet-genummerde wegen</v>
      </c>
      <c r="D34" s="447" t="s">
        <v>323</v>
      </c>
      <c r="E34" s="447" t="s">
        <v>328</v>
      </c>
      <c r="F34" s="514">
        <v>1.6249778001173E-9</v>
      </c>
    </row>
    <row r="35" spans="1:6" hidden="1">
      <c r="A35" s="446" t="s">
        <v>65</v>
      </c>
      <c r="B35" s="447" t="s">
        <v>64</v>
      </c>
      <c r="C35" s="447" t="str">
        <f>CONCATENATE('ECF transport '!$A35,"_"&amp;'ECF transport '!$B35)</f>
        <v>Lichte vrachtwagens_Genummerde wegen</v>
      </c>
      <c r="D35" s="447" t="s">
        <v>323</v>
      </c>
      <c r="E35" s="447" t="s">
        <v>328</v>
      </c>
      <c r="F35" s="514">
        <v>1.6249778001173E-9</v>
      </c>
    </row>
    <row r="36" spans="1:6" hidden="1">
      <c r="A36" s="446" t="s">
        <v>65</v>
      </c>
      <c r="B36" s="447" t="s">
        <v>69</v>
      </c>
      <c r="C36" s="447" t="str">
        <f>CONCATENATE('ECF transport '!$A36,"_"&amp;'ECF transport '!$B36)</f>
        <v>Lichte vrachtwagens_Snelwegen</v>
      </c>
      <c r="D36" s="447" t="s">
        <v>323</v>
      </c>
      <c r="E36" s="447" t="s">
        <v>328</v>
      </c>
      <c r="F36" s="514">
        <v>1.6249778001173E-9</v>
      </c>
    </row>
    <row r="37" spans="1:6">
      <c r="A37" s="446" t="s">
        <v>66</v>
      </c>
      <c r="B37" s="447" t="s">
        <v>68</v>
      </c>
      <c r="C37" s="447" t="str">
        <f>CONCATENATE('ECF transport '!$A37,"_"&amp;'ECF transport '!$B37)</f>
        <v>Personenwagens_Niet-genummerde wegen</v>
      </c>
      <c r="D37" s="447" t="s">
        <v>335</v>
      </c>
      <c r="E37" s="447" t="s">
        <v>328</v>
      </c>
      <c r="F37" s="514">
        <v>5.1020360407676995E-10</v>
      </c>
    </row>
    <row r="38" spans="1:6">
      <c r="A38" s="446" t="s">
        <v>66</v>
      </c>
      <c r="B38" s="447" t="s">
        <v>64</v>
      </c>
      <c r="C38" s="447" t="str">
        <f>CONCATENATE('ECF transport '!$A38,"_"&amp;'ECF transport '!$B38)</f>
        <v>Personenwagens_Genummerde wegen</v>
      </c>
      <c r="D38" s="447" t="s">
        <v>335</v>
      </c>
      <c r="E38" s="447" t="s">
        <v>328</v>
      </c>
      <c r="F38" s="514">
        <v>5.1020360407676995E-10</v>
      </c>
    </row>
    <row r="39" spans="1:6">
      <c r="A39" s="446" t="s">
        <v>66</v>
      </c>
      <c r="B39" s="447" t="s">
        <v>69</v>
      </c>
      <c r="C39" s="447" t="str">
        <f>CONCATENATE('ECF transport '!$A39,"_"&amp;'ECF transport '!$B39)</f>
        <v>Personenwagens_Snelwegen</v>
      </c>
      <c r="D39" s="447" t="s">
        <v>335</v>
      </c>
      <c r="E39" s="447" t="s">
        <v>328</v>
      </c>
      <c r="F39" s="514">
        <v>5.1020360407676995E-10</v>
      </c>
    </row>
    <row r="40" spans="1:6">
      <c r="A40" s="446" t="s">
        <v>66</v>
      </c>
      <c r="B40" s="447" t="s">
        <v>68</v>
      </c>
      <c r="C40" s="447" t="str">
        <f>CONCATENATE('ECF transport '!$A40,"_"&amp;'ECF transport '!$B40)</f>
        <v>Personenwagens_Niet-genummerde wegen</v>
      </c>
      <c r="D40" s="447" t="s">
        <v>336</v>
      </c>
      <c r="E40" s="447" t="s">
        <v>328</v>
      </c>
      <c r="F40" s="514">
        <v>5.1020360407676995E-10</v>
      </c>
    </row>
    <row r="41" spans="1:6">
      <c r="A41" s="446" t="s">
        <v>66</v>
      </c>
      <c r="B41" s="447" t="s">
        <v>64</v>
      </c>
      <c r="C41" s="447" t="str">
        <f>CONCATENATE('ECF transport '!$A41,"_"&amp;'ECF transport '!$B41)</f>
        <v>Personenwagens_Genummerde wegen</v>
      </c>
      <c r="D41" s="447" t="s">
        <v>336</v>
      </c>
      <c r="E41" s="447" t="s">
        <v>328</v>
      </c>
      <c r="F41" s="514">
        <v>5.1020360407676995E-10</v>
      </c>
    </row>
    <row r="42" spans="1:6">
      <c r="A42" s="446" t="s">
        <v>66</v>
      </c>
      <c r="B42" s="447" t="s">
        <v>69</v>
      </c>
      <c r="C42" s="447" t="str">
        <f>CONCATENATE('ECF transport '!$A42,"_"&amp;'ECF transport '!$B42)</f>
        <v>Personenwagens_Snelwegen</v>
      </c>
      <c r="D42" s="447" t="s">
        <v>336</v>
      </c>
      <c r="E42" s="447" t="s">
        <v>328</v>
      </c>
      <c r="F42" s="514">
        <v>5.1020360407676995E-10</v>
      </c>
    </row>
    <row r="43" spans="1:6" hidden="1">
      <c r="A43" s="446" t="s">
        <v>65</v>
      </c>
      <c r="B43" s="447" t="s">
        <v>68</v>
      </c>
      <c r="C43" s="447" t="str">
        <f>CONCATENATE('ECF transport '!$A43,"_"&amp;'ECF transport '!$B43)</f>
        <v>Lichte vrachtwagens_Niet-genummerde wegen</v>
      </c>
      <c r="D43" s="447" t="s">
        <v>335</v>
      </c>
      <c r="E43" s="447" t="s">
        <v>328</v>
      </c>
      <c r="F43" s="514">
        <v>9.7499882003897009E-10</v>
      </c>
    </row>
    <row r="44" spans="1:6" hidden="1">
      <c r="A44" s="446" t="s">
        <v>65</v>
      </c>
      <c r="B44" s="447" t="s">
        <v>64</v>
      </c>
      <c r="C44" s="447" t="str">
        <f>CONCATENATE('ECF transport '!$A44,"_"&amp;'ECF transport '!$B44)</f>
        <v>Lichte vrachtwagens_Genummerde wegen</v>
      </c>
      <c r="D44" s="447" t="s">
        <v>335</v>
      </c>
      <c r="E44" s="447" t="s">
        <v>328</v>
      </c>
      <c r="F44" s="514">
        <v>9.7499882003897009E-10</v>
      </c>
    </row>
    <row r="45" spans="1:6" hidden="1">
      <c r="A45" s="446" t="s">
        <v>65</v>
      </c>
      <c r="B45" s="447" t="s">
        <v>69</v>
      </c>
      <c r="C45" s="447" t="str">
        <f>CONCATENATE('ECF transport '!$A45,"_"&amp;'ECF transport '!$B45)</f>
        <v>Lichte vrachtwagens_Snelwegen</v>
      </c>
      <c r="D45" s="447" t="s">
        <v>335</v>
      </c>
      <c r="E45" s="447" t="s">
        <v>328</v>
      </c>
      <c r="F45" s="514">
        <v>9.7499882003897009E-10</v>
      </c>
    </row>
    <row r="46" spans="1:6">
      <c r="A46" s="446" t="s">
        <v>66</v>
      </c>
      <c r="B46" s="447" t="s">
        <v>69</v>
      </c>
      <c r="C46" s="447" t="str">
        <f>CONCATENATE('ECF transport '!$A46,"_"&amp;'ECF transport '!$B46)</f>
        <v>Personenwagens_Snelwegen</v>
      </c>
      <c r="D46" s="447" t="s">
        <v>122</v>
      </c>
      <c r="E46" s="447" t="s">
        <v>122</v>
      </c>
      <c r="F46" s="514">
        <v>2.7795107297103E-9</v>
      </c>
    </row>
    <row r="47" spans="1:6">
      <c r="A47" s="446" t="s">
        <v>66</v>
      </c>
      <c r="B47" s="447" t="s">
        <v>64</v>
      </c>
      <c r="C47" s="447" t="str">
        <f>CONCATENATE('ECF transport '!$A47,"_"&amp;'ECF transport '!$B47)</f>
        <v>Personenwagens_Genummerde wegen</v>
      </c>
      <c r="D47" s="447" t="s">
        <v>122</v>
      </c>
      <c r="E47" s="447" t="s">
        <v>122</v>
      </c>
      <c r="F47" s="514">
        <v>2.1238888511260999E-9</v>
      </c>
    </row>
    <row r="48" spans="1:6">
      <c r="A48" s="446" t="s">
        <v>66</v>
      </c>
      <c r="B48" s="447" t="s">
        <v>68</v>
      </c>
      <c r="C48" s="447" t="str">
        <f>CONCATENATE('ECF transport '!$A48,"_"&amp;'ECF transport '!$B48)</f>
        <v>Personenwagens_Niet-genummerde wegen</v>
      </c>
      <c r="D48" s="447" t="s">
        <v>122</v>
      </c>
      <c r="E48" s="447" t="s">
        <v>122</v>
      </c>
      <c r="F48" s="514">
        <v>2.7707330643128998E-9</v>
      </c>
    </row>
    <row r="49" spans="1:6" hidden="1">
      <c r="A49" s="446" t="s">
        <v>65</v>
      </c>
      <c r="B49" s="447" t="s">
        <v>69</v>
      </c>
      <c r="C49" s="447" t="str">
        <f>CONCATENATE('ECF transport '!$A49,"_"&amp;'ECF transport '!$B49)</f>
        <v>Lichte vrachtwagens_Snelwegen</v>
      </c>
      <c r="D49" s="447" t="s">
        <v>122</v>
      </c>
      <c r="E49" s="447" t="s">
        <v>122</v>
      </c>
      <c r="F49" s="514">
        <v>2.6631993382542002E-9</v>
      </c>
    </row>
    <row r="50" spans="1:6" hidden="1">
      <c r="A50" s="446" t="s">
        <v>65</v>
      </c>
      <c r="B50" s="447" t="s">
        <v>64</v>
      </c>
      <c r="C50" s="447" t="str">
        <f>CONCATENATE('ECF transport '!$A50,"_"&amp;'ECF transport '!$B50)</f>
        <v>Lichte vrachtwagens_Genummerde wegen</v>
      </c>
      <c r="D50" s="447" t="s">
        <v>122</v>
      </c>
      <c r="E50" s="447" t="s">
        <v>122</v>
      </c>
      <c r="F50" s="514">
        <v>2.0442414115811002E-9</v>
      </c>
    </row>
    <row r="51" spans="1:6" hidden="1">
      <c r="A51" s="446" t="s">
        <v>65</v>
      </c>
      <c r="B51" s="447" t="s">
        <v>68</v>
      </c>
      <c r="C51" s="447" t="str">
        <f>CONCATENATE('ECF transport '!$A51,"_"&amp;'ECF transport '!$B51)</f>
        <v>Lichte vrachtwagens_Niet-genummerde wegen</v>
      </c>
      <c r="D51" s="447" t="s">
        <v>122</v>
      </c>
      <c r="E51" s="447" t="s">
        <v>122</v>
      </c>
      <c r="F51" s="514">
        <v>2.6772572030076E-9</v>
      </c>
    </row>
    <row r="52" spans="1:6">
      <c r="A52" s="446" t="s">
        <v>66</v>
      </c>
      <c r="B52" s="447" t="s">
        <v>69</v>
      </c>
      <c r="C52" s="447" t="str">
        <f>CONCATENATE('ECF transport '!$A52,"_"&amp;'ECF transport '!$B52)</f>
        <v>Personenwagens_Snelwegen</v>
      </c>
      <c r="D52" s="447" t="s">
        <v>324</v>
      </c>
      <c r="E52" s="447" t="s">
        <v>324</v>
      </c>
      <c r="F52" s="514">
        <v>2.2456983447071001E-9</v>
      </c>
    </row>
    <row r="53" spans="1:6">
      <c r="A53" s="446" t="s">
        <v>66</v>
      </c>
      <c r="B53" s="447" t="s">
        <v>69</v>
      </c>
      <c r="C53" s="447" t="str">
        <f>CONCATENATE('ECF transport '!$A53,"_"&amp;'ECF transport '!$B53)</f>
        <v>Personenwagens_Snelwegen</v>
      </c>
      <c r="D53" s="447" t="s">
        <v>325</v>
      </c>
      <c r="E53" s="447" t="s">
        <v>324</v>
      </c>
      <c r="F53" s="514">
        <v>2.0514920434963E-9</v>
      </c>
    </row>
    <row r="54" spans="1:6">
      <c r="A54" s="446" t="s">
        <v>66</v>
      </c>
      <c r="B54" s="447" t="s">
        <v>64</v>
      </c>
      <c r="C54" s="447" t="str">
        <f>CONCATENATE('ECF transport '!$A54,"_"&amp;'ECF transport '!$B54)</f>
        <v>Personenwagens_Genummerde wegen</v>
      </c>
      <c r="D54" s="447" t="s">
        <v>324</v>
      </c>
      <c r="E54" s="447" t="s">
        <v>324</v>
      </c>
      <c r="F54" s="514">
        <v>2.0721849184895001E-9</v>
      </c>
    </row>
    <row r="55" spans="1:6">
      <c r="A55" s="446" t="s">
        <v>66</v>
      </c>
      <c r="B55" s="447" t="s">
        <v>64</v>
      </c>
      <c r="C55" s="447" t="str">
        <f>CONCATENATE('ECF transport '!$A55,"_"&amp;'ECF transport '!$B55)</f>
        <v>Personenwagens_Genummerde wegen</v>
      </c>
      <c r="D55" s="447" t="s">
        <v>325</v>
      </c>
      <c r="E55" s="447" t="s">
        <v>324</v>
      </c>
      <c r="F55" s="514">
        <v>1.7392712896248999E-9</v>
      </c>
    </row>
    <row r="56" spans="1:6">
      <c r="A56" s="446" t="s">
        <v>66</v>
      </c>
      <c r="B56" s="447" t="s">
        <v>68</v>
      </c>
      <c r="C56" s="447" t="str">
        <f>CONCATENATE('ECF transport '!$A56,"_"&amp;'ECF transport '!$B56)</f>
        <v>Personenwagens_Niet-genummerde wegen</v>
      </c>
      <c r="D56" s="447" t="s">
        <v>324</v>
      </c>
      <c r="E56" s="447" t="s">
        <v>324</v>
      </c>
      <c r="F56" s="514">
        <v>2.9903652174859E-9</v>
      </c>
    </row>
    <row r="57" spans="1:6">
      <c r="A57" s="446" t="s">
        <v>66</v>
      </c>
      <c r="B57" s="447" t="s">
        <v>68</v>
      </c>
      <c r="C57" s="447" t="str">
        <f>CONCATENATE('ECF transport '!$A57,"_"&amp;'ECF transport '!$B57)</f>
        <v>Personenwagens_Niet-genummerde wegen</v>
      </c>
      <c r="D57" s="447" t="s">
        <v>325</v>
      </c>
      <c r="E57" s="447" t="s">
        <v>324</v>
      </c>
      <c r="F57" s="514">
        <v>1.9229163469448E-9</v>
      </c>
    </row>
    <row r="58" spans="1:6" hidden="1">
      <c r="A58" s="446" t="s">
        <v>65</v>
      </c>
      <c r="B58" s="447" t="s">
        <v>69</v>
      </c>
      <c r="C58" s="447" t="str">
        <f>CONCATENATE('ECF transport '!$A58,"_"&amp;'ECF transport '!$B58)</f>
        <v>Lichte vrachtwagens_Snelwegen</v>
      </c>
      <c r="D58" s="447" t="s">
        <v>324</v>
      </c>
      <c r="E58" s="447" t="s">
        <v>324</v>
      </c>
      <c r="F58" s="514">
        <v>3.5747150638346002E-9</v>
      </c>
    </row>
    <row r="59" spans="1:6" hidden="1">
      <c r="A59" s="446" t="s">
        <v>65</v>
      </c>
      <c r="B59" s="447" t="s">
        <v>64</v>
      </c>
      <c r="C59" s="447" t="str">
        <f>CONCATENATE('ECF transport '!$A59,"_"&amp;'ECF transport '!$B59)</f>
        <v>Lichte vrachtwagens_Genummerde wegen</v>
      </c>
      <c r="D59" s="447" t="s">
        <v>324</v>
      </c>
      <c r="E59" s="447" t="s">
        <v>324</v>
      </c>
      <c r="F59" s="514">
        <v>3.2446267724478E-9</v>
      </c>
    </row>
    <row r="60" spans="1:6" hidden="1">
      <c r="A60" s="446" t="s">
        <v>65</v>
      </c>
      <c r="B60" s="447" t="s">
        <v>68</v>
      </c>
      <c r="C60" s="447" t="str">
        <f>CONCATENATE('ECF transport '!$A60,"_"&amp;'ECF transport '!$B60)</f>
        <v>Lichte vrachtwagens_Niet-genummerde wegen</v>
      </c>
      <c r="D60" s="447" t="s">
        <v>324</v>
      </c>
      <c r="E60" s="447" t="s">
        <v>324</v>
      </c>
      <c r="F60" s="514">
        <v>5.3570160975954999E-9</v>
      </c>
    </row>
    <row r="61" spans="1:6">
      <c r="A61" s="446" t="s">
        <v>66</v>
      </c>
      <c r="B61" s="447" t="s">
        <v>69</v>
      </c>
      <c r="C61" s="447" t="str">
        <f>CONCATENATE('ECF transport '!$A61,"_"&amp;'ECF transport '!$B61)</f>
        <v>Personenwagens_Snelwegen</v>
      </c>
      <c r="D61" s="447" t="s">
        <v>336</v>
      </c>
      <c r="E61" s="447" t="s">
        <v>324</v>
      </c>
      <c r="F61" s="514">
        <v>8.8199586343799002E-10</v>
      </c>
    </row>
    <row r="62" spans="1:6">
      <c r="A62" s="446" t="s">
        <v>66</v>
      </c>
      <c r="B62" s="447" t="s">
        <v>64</v>
      </c>
      <c r="C62" s="447" t="str">
        <f>CONCATENATE('ECF transport '!$A62,"_"&amp;'ECF transport '!$B62)</f>
        <v>Personenwagens_Genummerde wegen</v>
      </c>
      <c r="D62" s="447" t="s">
        <v>336</v>
      </c>
      <c r="E62" s="447" t="s">
        <v>324</v>
      </c>
      <c r="F62" s="514">
        <v>7.4515366003474999E-10</v>
      </c>
    </row>
    <row r="63" spans="1:6">
      <c r="A63" s="446" t="s">
        <v>66</v>
      </c>
      <c r="B63" s="447" t="s">
        <v>68</v>
      </c>
      <c r="C63" s="447" t="str">
        <f>CONCATENATE('ECF transport '!$A63,"_"&amp;'ECF transport '!$B63)</f>
        <v>Personenwagens_Niet-genummerde wegen</v>
      </c>
      <c r="D63" s="447" t="s">
        <v>336</v>
      </c>
      <c r="E63" s="447" t="s">
        <v>324</v>
      </c>
      <c r="F63" s="514">
        <v>9.1469003368733998E-10</v>
      </c>
    </row>
    <row r="64" spans="1:6" hidden="1">
      <c r="A64" s="446" t="s">
        <v>363</v>
      </c>
      <c r="B64" s="447" t="s">
        <v>365</v>
      </c>
      <c r="C64" s="447" t="str">
        <f>CONCATENATE('ECF transport '!$A64,"_"&amp;'ECF transport '!$B64)</f>
        <v>Bus_Ruraal</v>
      </c>
      <c r="D64" s="447" t="s">
        <v>208</v>
      </c>
      <c r="E64" s="447" t="s">
        <v>208</v>
      </c>
      <c r="F64" s="514">
        <v>9.9380861185442995E-9</v>
      </c>
    </row>
    <row r="65" spans="1:6" hidden="1">
      <c r="A65" s="446" t="s">
        <v>363</v>
      </c>
      <c r="B65" s="447" t="s">
        <v>365</v>
      </c>
      <c r="C65" s="447" t="str">
        <f>CONCATENATE('ECF transport '!$A65,"_"&amp;'ECF transport '!$B65)</f>
        <v>Bus_Ruraal</v>
      </c>
      <c r="D65" s="447" t="s">
        <v>334</v>
      </c>
      <c r="E65" s="447" t="s">
        <v>208</v>
      </c>
      <c r="F65" s="514">
        <v>8.1147793627766997E-9</v>
      </c>
    </row>
    <row r="66" spans="1:6" s="945" customFormat="1" ht="15.75" hidden="1" thickBot="1">
      <c r="A66" s="942" t="s">
        <v>362</v>
      </c>
      <c r="B66" s="943" t="s">
        <v>375</v>
      </c>
      <c r="C66" s="943" t="str">
        <f>CONCATENATE('ECF transport '!$A66,"_"&amp;'ECF transport '!$B66)</f>
        <v>Tram_gemiddeld</v>
      </c>
      <c r="D66" s="943" t="s">
        <v>323</v>
      </c>
      <c r="E66" s="943" t="s">
        <v>323</v>
      </c>
      <c r="F66" s="944">
        <v>1.26886945927223E-8</v>
      </c>
    </row>
  </sheetData>
  <autoFilter ref="A4:F66">
    <filterColumn colId="0">
      <filters>
        <filter val="Personenwagens"/>
      </filters>
    </filterColumn>
  </autoFilter>
  <mergeCells count="1">
    <mergeCell ref="A2:F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0" tint="-0.34998626667073579"/>
  </sheetPr>
  <dimension ref="A1:AE33"/>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56" customWidth="1"/>
    <col min="2" max="2" width="69" style="56" customWidth="1"/>
    <col min="25" max="25" width="11.85546875" customWidth="1"/>
    <col min="27" max="28" width="9.140625" style="17"/>
  </cols>
  <sheetData>
    <row r="1" spans="1:29" s="2" customFormat="1" ht="11.25">
      <c r="A1" s="1088">
        <v>2011</v>
      </c>
      <c r="B1" s="1089"/>
      <c r="C1" s="91" t="s">
        <v>116</v>
      </c>
      <c r="D1" s="92" t="s">
        <v>117</v>
      </c>
      <c r="E1" s="91" t="s">
        <v>118</v>
      </c>
      <c r="F1" s="93" t="s">
        <v>119</v>
      </c>
      <c r="G1" s="92" t="s">
        <v>120</v>
      </c>
      <c r="H1" s="92" t="s">
        <v>121</v>
      </c>
      <c r="I1" s="91" t="s">
        <v>122</v>
      </c>
      <c r="J1" s="91" t="s">
        <v>123</v>
      </c>
      <c r="K1" s="91" t="s">
        <v>124</v>
      </c>
      <c r="L1" s="91" t="s">
        <v>125</v>
      </c>
      <c r="M1" s="92" t="s">
        <v>126</v>
      </c>
      <c r="N1" s="92" t="s">
        <v>127</v>
      </c>
      <c r="O1" s="92" t="s">
        <v>128</v>
      </c>
      <c r="P1" s="92" t="s">
        <v>129</v>
      </c>
      <c r="Q1" s="92" t="s">
        <v>130</v>
      </c>
      <c r="R1" s="94" t="s">
        <v>131</v>
      </c>
      <c r="S1" s="92" t="s">
        <v>132</v>
      </c>
      <c r="T1" s="92" t="s">
        <v>133</v>
      </c>
      <c r="U1" s="92" t="s">
        <v>134</v>
      </c>
      <c r="V1" s="93" t="s">
        <v>135</v>
      </c>
      <c r="W1" s="93" t="s">
        <v>136</v>
      </c>
      <c r="X1" s="92" t="s">
        <v>137</v>
      </c>
      <c r="Y1" s="91" t="s">
        <v>138</v>
      </c>
      <c r="Z1" s="91" t="s">
        <v>139</v>
      </c>
      <c r="AA1" s="95" t="s">
        <v>140</v>
      </c>
      <c r="AB1" s="96" t="s">
        <v>141</v>
      </c>
      <c r="AC1" s="93" t="s">
        <v>119</v>
      </c>
    </row>
    <row r="2" spans="1:29" s="2" customFormat="1" ht="11.25">
      <c r="A2" s="1090"/>
      <c r="B2" s="1091"/>
      <c r="C2" s="97"/>
      <c r="D2" s="97"/>
      <c r="E2" s="97"/>
      <c r="F2" s="98" t="s">
        <v>142</v>
      </c>
      <c r="G2" s="99" t="s">
        <v>143</v>
      </c>
      <c r="H2" s="100" t="s">
        <v>144</v>
      </c>
      <c r="I2" s="97"/>
      <c r="J2" s="97"/>
      <c r="K2" s="99"/>
      <c r="L2" s="100" t="s">
        <v>145</v>
      </c>
      <c r="M2" s="100" t="s">
        <v>146</v>
      </c>
      <c r="N2" s="100" t="s">
        <v>147</v>
      </c>
      <c r="O2" s="100"/>
      <c r="P2" s="100" t="s">
        <v>148</v>
      </c>
      <c r="Q2" s="99" t="s">
        <v>149</v>
      </c>
      <c r="R2" s="101" t="s">
        <v>150</v>
      </c>
      <c r="S2" s="100" t="s">
        <v>151</v>
      </c>
      <c r="T2" s="100" t="s">
        <v>152</v>
      </c>
      <c r="U2" s="100" t="s">
        <v>152</v>
      </c>
      <c r="V2" s="98"/>
      <c r="W2" s="98" t="s">
        <v>153</v>
      </c>
      <c r="X2" s="100" t="s">
        <v>154</v>
      </c>
      <c r="Y2" s="100"/>
      <c r="Z2" s="100" t="s">
        <v>155</v>
      </c>
      <c r="AA2" s="102"/>
      <c r="AB2" s="102" t="s">
        <v>156</v>
      </c>
      <c r="AC2" s="98"/>
    </row>
    <row r="3" spans="1:29" s="2" customFormat="1" ht="11.25">
      <c r="A3" s="1090"/>
      <c r="B3" s="1091"/>
      <c r="C3" s="100" t="s">
        <v>157</v>
      </c>
      <c r="D3" s="100" t="s">
        <v>157</v>
      </c>
      <c r="E3" s="100" t="s">
        <v>157</v>
      </c>
      <c r="F3" s="98" t="s">
        <v>157</v>
      </c>
      <c r="G3" s="99" t="s">
        <v>157</v>
      </c>
      <c r="H3" s="100" t="s">
        <v>157</v>
      </c>
      <c r="I3" s="100" t="s">
        <v>157</v>
      </c>
      <c r="J3" s="100" t="s">
        <v>157</v>
      </c>
      <c r="K3" s="99" t="s">
        <v>157</v>
      </c>
      <c r="L3" s="100" t="s">
        <v>157</v>
      </c>
      <c r="M3" s="100" t="s">
        <v>157</v>
      </c>
      <c r="N3" s="100" t="s">
        <v>157</v>
      </c>
      <c r="O3" s="100" t="s">
        <v>157</v>
      </c>
      <c r="P3" s="100" t="s">
        <v>157</v>
      </c>
      <c r="Q3" s="99" t="s">
        <v>157</v>
      </c>
      <c r="R3" s="101" t="s">
        <v>157</v>
      </c>
      <c r="S3" s="100" t="s">
        <v>157</v>
      </c>
      <c r="T3" s="100" t="s">
        <v>157</v>
      </c>
      <c r="U3" s="100" t="s">
        <v>157</v>
      </c>
      <c r="V3" s="98" t="s">
        <v>157</v>
      </c>
      <c r="W3" s="98" t="s">
        <v>157</v>
      </c>
      <c r="X3" s="100" t="s">
        <v>157</v>
      </c>
      <c r="Y3" s="100" t="s">
        <v>157</v>
      </c>
      <c r="Z3" s="100" t="s">
        <v>157</v>
      </c>
      <c r="AA3" s="102" t="s">
        <v>157</v>
      </c>
      <c r="AB3" s="102" t="s">
        <v>157</v>
      </c>
      <c r="AC3" s="98" t="s">
        <v>157</v>
      </c>
    </row>
    <row r="4" spans="1:29" s="2" customFormat="1" ht="11.25">
      <c r="A4" s="1092"/>
      <c r="B4" s="1093"/>
      <c r="C4" s="103"/>
      <c r="D4" s="103"/>
      <c r="E4" s="103"/>
      <c r="F4" s="104"/>
      <c r="G4" s="105"/>
      <c r="H4" s="103"/>
      <c r="I4" s="103"/>
      <c r="J4" s="103"/>
      <c r="K4" s="105"/>
      <c r="L4" s="103"/>
      <c r="M4" s="103"/>
      <c r="N4" s="103"/>
      <c r="O4" s="103"/>
      <c r="P4" s="103"/>
      <c r="Q4" s="105"/>
      <c r="R4" s="106"/>
      <c r="S4" s="103"/>
      <c r="T4" s="103"/>
      <c r="U4" s="103"/>
      <c r="V4" s="104"/>
      <c r="W4" s="104"/>
      <c r="X4" s="103"/>
      <c r="Y4" s="103"/>
      <c r="Z4" s="103"/>
      <c r="AA4" s="107"/>
      <c r="AB4" s="107"/>
      <c r="AC4" s="104"/>
    </row>
    <row r="5" spans="1:29" s="2" customFormat="1">
      <c r="A5" s="170" t="s">
        <v>434</v>
      </c>
      <c r="B5" s="165" t="s">
        <v>614</v>
      </c>
      <c r="C5" s="161"/>
      <c r="D5" s="161"/>
      <c r="E5" s="161"/>
      <c r="F5" s="161"/>
      <c r="G5" s="162"/>
      <c r="H5" s="161"/>
      <c r="I5" s="161"/>
      <c r="J5" s="161"/>
      <c r="K5" s="162"/>
      <c r="L5" s="161"/>
      <c r="M5" s="161"/>
      <c r="N5" s="161"/>
      <c r="O5" s="161"/>
      <c r="P5" s="161"/>
      <c r="Q5" s="162"/>
      <c r="R5" s="162"/>
      <c r="S5" s="161"/>
      <c r="T5" s="161"/>
      <c r="U5" s="161"/>
      <c r="V5" s="161"/>
      <c r="W5" s="161"/>
      <c r="X5" s="161"/>
      <c r="Y5" s="161"/>
      <c r="Z5" s="161"/>
      <c r="AA5" s="163"/>
      <c r="AB5" s="163"/>
      <c r="AC5" s="164"/>
    </row>
    <row r="6" spans="1:29" s="2" customFormat="1">
      <c r="A6" s="238"/>
      <c r="B6" s="239"/>
      <c r="C6" s="167"/>
      <c r="D6" s="167"/>
      <c r="E6" s="167"/>
      <c r="F6" s="167"/>
      <c r="G6" s="166"/>
      <c r="H6" s="167"/>
      <c r="I6" s="167"/>
      <c r="J6" s="167"/>
      <c r="K6" s="166"/>
      <c r="L6" s="167"/>
      <c r="M6" s="167"/>
      <c r="N6" s="167"/>
      <c r="O6" s="167"/>
      <c r="P6" s="167"/>
      <c r="Q6" s="166"/>
      <c r="R6" s="166"/>
      <c r="S6" s="167"/>
      <c r="T6" s="167"/>
      <c r="U6" s="167"/>
      <c r="V6" s="167"/>
      <c r="W6" s="167"/>
      <c r="X6" s="167"/>
      <c r="Y6" s="167"/>
      <c r="Z6" s="167"/>
      <c r="AA6" s="168"/>
      <c r="AB6" s="168"/>
      <c r="AC6" s="240"/>
    </row>
    <row r="7" spans="1:29">
      <c r="A7" s="241" t="s">
        <v>158</v>
      </c>
      <c r="B7" s="242"/>
      <c r="C7" s="243">
        <v>0</v>
      </c>
      <c r="D7" s="243">
        <v>2.6805934962701699</v>
      </c>
      <c r="E7" s="243">
        <v>0</v>
      </c>
      <c r="F7" s="244">
        <f>SUM(C7:E7)</f>
        <v>2.6805934962701699</v>
      </c>
      <c r="G7" s="243">
        <v>0</v>
      </c>
      <c r="H7" s="243">
        <v>0</v>
      </c>
      <c r="I7" s="243">
        <v>2.2239599999999999</v>
      </c>
      <c r="J7" s="243">
        <v>0.50767128695107</v>
      </c>
      <c r="K7" s="243">
        <v>0</v>
      </c>
      <c r="L7" s="243">
        <v>75.824335044693584</v>
      </c>
      <c r="M7" s="243">
        <v>0</v>
      </c>
      <c r="N7" s="243">
        <v>0</v>
      </c>
      <c r="O7" s="243">
        <v>0</v>
      </c>
      <c r="P7" s="243">
        <v>0</v>
      </c>
      <c r="Q7" s="243">
        <v>0</v>
      </c>
      <c r="R7" s="244">
        <f>SUM(G7:Q7)</f>
        <v>78.555966331644655</v>
      </c>
      <c r="S7" s="243">
        <v>81.020451572490572</v>
      </c>
      <c r="T7" s="243">
        <v>0</v>
      </c>
      <c r="U7" s="243">
        <v>0</v>
      </c>
      <c r="V7" s="244">
        <f>SUM(S7:U7)</f>
        <v>81.020451572490572</v>
      </c>
      <c r="W7" s="244">
        <f>F7+R7+V7</f>
        <v>162.25701140040539</v>
      </c>
      <c r="X7" s="243">
        <v>0</v>
      </c>
      <c r="Y7" s="243">
        <v>11.305601242837319</v>
      </c>
      <c r="Z7" s="243">
        <v>40.431095546363998</v>
      </c>
      <c r="AA7" s="245">
        <v>0</v>
      </c>
      <c r="AB7" s="245">
        <v>0</v>
      </c>
      <c r="AC7" s="244">
        <f>SUM(W7:AB7)</f>
        <v>213.99370818960671</v>
      </c>
    </row>
    <row r="8" spans="1:29">
      <c r="A8" s="246" t="s">
        <v>159</v>
      </c>
      <c r="B8" s="247"/>
      <c r="C8" s="248">
        <f>SUM(C9:C14)</f>
        <v>0</v>
      </c>
      <c r="D8" s="248">
        <f t="shared" ref="D8:AC8" si="0">SUM(D9:D14)</f>
        <v>0</v>
      </c>
      <c r="E8" s="248">
        <f t="shared" si="0"/>
        <v>0</v>
      </c>
      <c r="F8" s="249">
        <f t="shared" si="0"/>
        <v>0</v>
      </c>
      <c r="G8" s="248">
        <f t="shared" si="0"/>
        <v>0</v>
      </c>
      <c r="H8" s="248">
        <f t="shared" si="0"/>
        <v>0</v>
      </c>
      <c r="I8" s="248">
        <f t="shared" si="0"/>
        <v>0.93635176296261835</v>
      </c>
      <c r="J8" s="248">
        <f t="shared" si="0"/>
        <v>0.1136256717751985</v>
      </c>
      <c r="K8" s="248">
        <f t="shared" si="0"/>
        <v>0</v>
      </c>
      <c r="L8" s="248">
        <f t="shared" si="0"/>
        <v>8.2141361334322767</v>
      </c>
      <c r="M8" s="248">
        <f t="shared" si="0"/>
        <v>0</v>
      </c>
      <c r="N8" s="248">
        <f t="shared" si="0"/>
        <v>0.40051228828026236</v>
      </c>
      <c r="O8" s="248">
        <f t="shared" si="0"/>
        <v>0</v>
      </c>
      <c r="P8" s="248">
        <f t="shared" si="0"/>
        <v>0</v>
      </c>
      <c r="Q8" s="248">
        <f t="shared" si="0"/>
        <v>0</v>
      </c>
      <c r="R8" s="249">
        <f t="shared" si="0"/>
        <v>9.6646258564503569</v>
      </c>
      <c r="S8" s="248">
        <f t="shared" si="0"/>
        <v>39.885032712128762</v>
      </c>
      <c r="T8" s="248">
        <f t="shared" si="0"/>
        <v>0</v>
      </c>
      <c r="U8" s="248">
        <f t="shared" si="0"/>
        <v>0</v>
      </c>
      <c r="V8" s="249">
        <f t="shared" si="0"/>
        <v>39.885032712128762</v>
      </c>
      <c r="W8" s="249">
        <f t="shared" si="0"/>
        <v>49.549658568579119</v>
      </c>
      <c r="X8" s="248">
        <f t="shared" si="0"/>
        <v>1.1778731083252698</v>
      </c>
      <c r="Y8" s="248">
        <f t="shared" si="0"/>
        <v>1.2382813741278351</v>
      </c>
      <c r="Z8" s="248">
        <f t="shared" si="0"/>
        <v>43.658759703935893</v>
      </c>
      <c r="AA8" s="250">
        <f t="shared" si="0"/>
        <v>0</v>
      </c>
      <c r="AB8" s="250">
        <f t="shared" si="0"/>
        <v>0</v>
      </c>
      <c r="AC8" s="249">
        <f t="shared" si="0"/>
        <v>95.624572754968113</v>
      </c>
    </row>
    <row r="9" spans="1:29">
      <c r="A9" s="3"/>
      <c r="B9" s="14" t="s">
        <v>160</v>
      </c>
      <c r="C9" s="4">
        <v>0</v>
      </c>
      <c r="D9" s="4">
        <v>0</v>
      </c>
      <c r="E9" s="4">
        <v>0</v>
      </c>
      <c r="F9" s="5">
        <f t="shared" ref="F9:F33" si="1">SUM(C9:E9)</f>
        <v>0</v>
      </c>
      <c r="G9" s="4">
        <v>0</v>
      </c>
      <c r="H9" s="4">
        <v>0</v>
      </c>
      <c r="I9" s="4">
        <v>0.23986607832345108</v>
      </c>
      <c r="J9" s="4">
        <v>0</v>
      </c>
      <c r="K9" s="4">
        <v>0</v>
      </c>
      <c r="L9" s="4">
        <v>0.74071186543813006</v>
      </c>
      <c r="M9" s="4">
        <v>0</v>
      </c>
      <c r="N9" s="4">
        <v>0</v>
      </c>
      <c r="O9" s="4">
        <v>0</v>
      </c>
      <c r="P9" s="4">
        <v>0</v>
      </c>
      <c r="Q9" s="4">
        <v>0</v>
      </c>
      <c r="R9" s="5">
        <f t="shared" ref="R9:R33" si="2">SUM(G9:Q9)</f>
        <v>0.98057794376158114</v>
      </c>
      <c r="S9" s="4">
        <v>3.9459597725550073</v>
      </c>
      <c r="T9" s="4">
        <v>0</v>
      </c>
      <c r="U9" s="4">
        <v>0</v>
      </c>
      <c r="V9" s="5">
        <f t="shared" ref="V9:V33" si="3">SUM(S9:U9)</f>
        <v>3.9459597725550073</v>
      </c>
      <c r="W9" s="5">
        <f t="shared" ref="W9:W33" si="4">F9+R9+V9</f>
        <v>4.926537716316588</v>
      </c>
      <c r="X9" s="4">
        <v>0</v>
      </c>
      <c r="Y9" s="4">
        <v>0</v>
      </c>
      <c r="Z9" s="4">
        <v>4.2519422209400766</v>
      </c>
      <c r="AA9" s="6">
        <v>0</v>
      </c>
      <c r="AB9" s="6">
        <v>0</v>
      </c>
      <c r="AC9" s="5">
        <f t="shared" ref="AC9:AC33" si="5">SUM(W9:AB9)</f>
        <v>9.1784799372566646</v>
      </c>
    </row>
    <row r="10" spans="1:29">
      <c r="A10" s="3"/>
      <c r="B10" s="14" t="s">
        <v>161</v>
      </c>
      <c r="C10" s="4">
        <v>0</v>
      </c>
      <c r="D10" s="4">
        <v>0</v>
      </c>
      <c r="E10" s="4">
        <v>0</v>
      </c>
      <c r="F10" s="5">
        <f t="shared" si="1"/>
        <v>0</v>
      </c>
      <c r="G10" s="4">
        <v>0</v>
      </c>
      <c r="H10" s="4">
        <v>0</v>
      </c>
      <c r="I10" s="4">
        <v>1.1479243261291476E-3</v>
      </c>
      <c r="J10" s="4">
        <v>0</v>
      </c>
      <c r="K10" s="4">
        <v>0</v>
      </c>
      <c r="L10" s="4">
        <v>0.67500914773328857</v>
      </c>
      <c r="M10" s="4">
        <v>0</v>
      </c>
      <c r="N10" s="4">
        <v>7.070841878929539E-3</v>
      </c>
      <c r="O10" s="4">
        <v>0</v>
      </c>
      <c r="P10" s="4">
        <v>0</v>
      </c>
      <c r="Q10" s="4">
        <v>0</v>
      </c>
      <c r="R10" s="5">
        <f t="shared" si="2"/>
        <v>0.68322791393834736</v>
      </c>
      <c r="S10" s="4">
        <v>5.0008933498534036</v>
      </c>
      <c r="T10" s="4">
        <v>0</v>
      </c>
      <c r="U10" s="4">
        <v>0</v>
      </c>
      <c r="V10" s="5">
        <f t="shared" si="3"/>
        <v>5.0008933498534036</v>
      </c>
      <c r="W10" s="5">
        <f t="shared" si="4"/>
        <v>5.6841212637917513</v>
      </c>
      <c r="X10" s="4">
        <v>0</v>
      </c>
      <c r="Y10" s="4">
        <v>2.3935049200000003E-2</v>
      </c>
      <c r="Z10" s="4">
        <v>2.7694669470828974</v>
      </c>
      <c r="AA10" s="6">
        <v>0</v>
      </c>
      <c r="AB10" s="6">
        <v>0</v>
      </c>
      <c r="AC10" s="5">
        <f t="shared" si="5"/>
        <v>8.4775232600746495</v>
      </c>
    </row>
    <row r="11" spans="1:29">
      <c r="A11" s="3"/>
      <c r="B11" s="14" t="s">
        <v>162</v>
      </c>
      <c r="C11" s="4">
        <v>0</v>
      </c>
      <c r="D11" s="4">
        <v>0</v>
      </c>
      <c r="E11" s="4">
        <v>0</v>
      </c>
      <c r="F11" s="5">
        <f t="shared" si="1"/>
        <v>0</v>
      </c>
      <c r="G11" s="4">
        <v>0</v>
      </c>
      <c r="H11" s="4">
        <v>0</v>
      </c>
      <c r="I11" s="4">
        <v>1.4339483086039156E-3</v>
      </c>
      <c r="J11" s="4">
        <v>0</v>
      </c>
      <c r="K11" s="4">
        <v>0</v>
      </c>
      <c r="L11" s="4">
        <v>1.3616964244893957</v>
      </c>
      <c r="M11" s="4">
        <v>0</v>
      </c>
      <c r="N11" s="4">
        <v>0</v>
      </c>
      <c r="O11" s="4">
        <v>0</v>
      </c>
      <c r="P11" s="4">
        <v>0</v>
      </c>
      <c r="Q11" s="4">
        <v>0</v>
      </c>
      <c r="R11" s="5">
        <f t="shared" si="2"/>
        <v>1.3631303727979995</v>
      </c>
      <c r="S11" s="4">
        <v>5.5273920774377121</v>
      </c>
      <c r="T11" s="4">
        <v>0</v>
      </c>
      <c r="U11" s="4">
        <v>0</v>
      </c>
      <c r="V11" s="5">
        <f t="shared" si="3"/>
        <v>5.5273920774377121</v>
      </c>
      <c r="W11" s="5">
        <f t="shared" si="4"/>
        <v>6.8905224502357116</v>
      </c>
      <c r="X11" s="4">
        <v>0</v>
      </c>
      <c r="Y11" s="4">
        <v>5.5458E-3</v>
      </c>
      <c r="Z11" s="4">
        <v>1.881693343564848</v>
      </c>
      <c r="AA11" s="6">
        <v>0</v>
      </c>
      <c r="AB11" s="6">
        <v>0</v>
      </c>
      <c r="AC11" s="5">
        <f t="shared" si="5"/>
        <v>8.7777615938005589</v>
      </c>
    </row>
    <row r="12" spans="1:29">
      <c r="A12" s="3"/>
      <c r="B12" s="14" t="s">
        <v>163</v>
      </c>
      <c r="C12" s="4">
        <v>0</v>
      </c>
      <c r="D12" s="4">
        <v>0</v>
      </c>
      <c r="E12" s="4">
        <v>0</v>
      </c>
      <c r="F12" s="5">
        <f t="shared" si="1"/>
        <v>0</v>
      </c>
      <c r="G12" s="4">
        <v>0</v>
      </c>
      <c r="H12" s="4">
        <v>0</v>
      </c>
      <c r="I12" s="4">
        <v>0.59883151513920008</v>
      </c>
      <c r="J12" s="4">
        <v>2.5976865406703159E-3</v>
      </c>
      <c r="K12" s="4">
        <v>0</v>
      </c>
      <c r="L12" s="4">
        <v>2.5938717385006922</v>
      </c>
      <c r="M12" s="4">
        <v>0</v>
      </c>
      <c r="N12" s="4">
        <v>0</v>
      </c>
      <c r="O12" s="4">
        <v>0</v>
      </c>
      <c r="P12" s="4">
        <v>0</v>
      </c>
      <c r="Q12" s="4">
        <v>0</v>
      </c>
      <c r="R12" s="5">
        <f t="shared" si="2"/>
        <v>3.1953009401805623</v>
      </c>
      <c r="S12" s="4">
        <v>14.214693837786118</v>
      </c>
      <c r="T12" s="4">
        <v>0</v>
      </c>
      <c r="U12" s="4">
        <v>0</v>
      </c>
      <c r="V12" s="5">
        <f t="shared" si="3"/>
        <v>14.214693837786118</v>
      </c>
      <c r="W12" s="5">
        <f t="shared" si="4"/>
        <v>17.409994777966681</v>
      </c>
      <c r="X12" s="4">
        <v>4.9274108325270002E-2</v>
      </c>
      <c r="Y12" s="4">
        <v>0.13223600000000002</v>
      </c>
      <c r="Z12" s="4">
        <v>17.107549096442991</v>
      </c>
      <c r="AA12" s="6">
        <v>0</v>
      </c>
      <c r="AB12" s="6">
        <v>0</v>
      </c>
      <c r="AC12" s="5">
        <f t="shared" si="5"/>
        <v>34.699053982734938</v>
      </c>
    </row>
    <row r="13" spans="1:29">
      <c r="A13" s="3"/>
      <c r="B13" s="14" t="s">
        <v>164</v>
      </c>
      <c r="C13" s="4">
        <v>0</v>
      </c>
      <c r="D13" s="4">
        <v>0</v>
      </c>
      <c r="E13" s="4">
        <v>0</v>
      </c>
      <c r="F13" s="5">
        <f t="shared" si="1"/>
        <v>0</v>
      </c>
      <c r="G13" s="4">
        <v>0</v>
      </c>
      <c r="H13" s="4">
        <v>0</v>
      </c>
      <c r="I13" s="4">
        <v>6.6758629432907293E-2</v>
      </c>
      <c r="J13" s="4">
        <v>0</v>
      </c>
      <c r="K13" s="4">
        <v>0</v>
      </c>
      <c r="L13" s="4">
        <v>2.0032197975617003</v>
      </c>
      <c r="M13" s="4">
        <v>0</v>
      </c>
      <c r="N13" s="4">
        <v>1.7184242162E-3</v>
      </c>
      <c r="O13" s="4">
        <v>0</v>
      </c>
      <c r="P13" s="4">
        <v>0</v>
      </c>
      <c r="Q13" s="4">
        <v>0</v>
      </c>
      <c r="R13" s="5">
        <f t="shared" si="2"/>
        <v>2.0716968512108074</v>
      </c>
      <c r="S13" s="4">
        <v>7.6799284465500124</v>
      </c>
      <c r="T13" s="4">
        <v>0</v>
      </c>
      <c r="U13" s="4">
        <v>0</v>
      </c>
      <c r="V13" s="5">
        <f t="shared" si="3"/>
        <v>7.6799284465500124</v>
      </c>
      <c r="W13" s="5">
        <f t="shared" si="4"/>
        <v>9.7516252977608193</v>
      </c>
      <c r="X13" s="4">
        <v>0</v>
      </c>
      <c r="Y13" s="4">
        <v>6.081894E-3</v>
      </c>
      <c r="Z13" s="4">
        <v>13.003496410008108</v>
      </c>
      <c r="AA13" s="6">
        <v>0</v>
      </c>
      <c r="AB13" s="6">
        <v>0</v>
      </c>
      <c r="AC13" s="5">
        <f t="shared" si="5"/>
        <v>22.761203601768926</v>
      </c>
    </row>
    <row r="14" spans="1:29">
      <c r="A14" s="251"/>
      <c r="B14" s="252" t="s">
        <v>165</v>
      </c>
      <c r="C14" s="253">
        <v>0</v>
      </c>
      <c r="D14" s="253">
        <v>0</v>
      </c>
      <c r="E14" s="253">
        <v>0</v>
      </c>
      <c r="F14" s="254">
        <f t="shared" si="1"/>
        <v>0</v>
      </c>
      <c r="G14" s="253">
        <v>0</v>
      </c>
      <c r="H14" s="253">
        <v>0</v>
      </c>
      <c r="I14" s="253">
        <v>2.8313667432326828E-2</v>
      </c>
      <c r="J14" s="253">
        <v>0.11102798523452818</v>
      </c>
      <c r="K14" s="253">
        <v>0</v>
      </c>
      <c r="L14" s="253">
        <v>0.83962715970907087</v>
      </c>
      <c r="M14" s="253">
        <v>0</v>
      </c>
      <c r="N14" s="253">
        <v>0.39172302218513283</v>
      </c>
      <c r="O14" s="253">
        <v>0</v>
      </c>
      <c r="P14" s="253">
        <v>0</v>
      </c>
      <c r="Q14" s="253">
        <v>0</v>
      </c>
      <c r="R14" s="254">
        <f t="shared" si="2"/>
        <v>1.3706918345610588</v>
      </c>
      <c r="S14" s="253">
        <v>3.5161652279465105</v>
      </c>
      <c r="T14" s="253">
        <v>0</v>
      </c>
      <c r="U14" s="253">
        <v>0</v>
      </c>
      <c r="V14" s="254">
        <f t="shared" si="3"/>
        <v>3.5161652279465105</v>
      </c>
      <c r="W14" s="254">
        <f t="shared" si="4"/>
        <v>4.8868570625075698</v>
      </c>
      <c r="X14" s="253">
        <v>1.1285989999999999</v>
      </c>
      <c r="Y14" s="253">
        <v>1.070482630927835</v>
      </c>
      <c r="Z14" s="253">
        <v>4.6446116858969688</v>
      </c>
      <c r="AA14" s="255">
        <v>0</v>
      </c>
      <c r="AB14" s="255">
        <v>0</v>
      </c>
      <c r="AC14" s="254">
        <f t="shared" si="5"/>
        <v>11.730550379332373</v>
      </c>
    </row>
    <row r="15" spans="1:29">
      <c r="A15" s="246" t="s">
        <v>166</v>
      </c>
      <c r="B15" s="256"/>
      <c r="C15" s="257">
        <f>SUM(C16:C24)</f>
        <v>0</v>
      </c>
      <c r="D15" s="257">
        <f t="shared" ref="D15:AC15" si="6">SUM(D16:D24)</f>
        <v>4.6294683399999897E-2</v>
      </c>
      <c r="E15" s="257">
        <f t="shared" si="6"/>
        <v>0.27958403999999998</v>
      </c>
      <c r="F15" s="258">
        <f t="shared" si="6"/>
        <v>0.3258787233999999</v>
      </c>
      <c r="G15" s="257">
        <f t="shared" si="6"/>
        <v>0</v>
      </c>
      <c r="H15" s="257">
        <f t="shared" si="6"/>
        <v>0</v>
      </c>
      <c r="I15" s="257">
        <f t="shared" si="6"/>
        <v>0.43677774631650601</v>
      </c>
      <c r="J15" s="257">
        <f t="shared" si="6"/>
        <v>0.177079042996164</v>
      </c>
      <c r="K15" s="257">
        <f t="shared" si="6"/>
        <v>0</v>
      </c>
      <c r="L15" s="257">
        <f t="shared" si="6"/>
        <v>8.152548427772965</v>
      </c>
      <c r="M15" s="257">
        <f t="shared" si="6"/>
        <v>0</v>
      </c>
      <c r="N15" s="257">
        <f t="shared" si="6"/>
        <v>1.5225393158196623</v>
      </c>
      <c r="O15" s="257">
        <f t="shared" si="6"/>
        <v>0</v>
      </c>
      <c r="P15" s="257">
        <f t="shared" si="6"/>
        <v>0.73553042499999999</v>
      </c>
      <c r="Q15" s="257">
        <f t="shared" si="6"/>
        <v>0</v>
      </c>
      <c r="R15" s="258">
        <f t="shared" si="6"/>
        <v>11.024474957905298</v>
      </c>
      <c r="S15" s="257">
        <f t="shared" si="6"/>
        <v>34.11080161185599</v>
      </c>
      <c r="T15" s="257">
        <f t="shared" si="6"/>
        <v>0</v>
      </c>
      <c r="U15" s="257">
        <f t="shared" si="6"/>
        <v>0</v>
      </c>
      <c r="V15" s="258">
        <f t="shared" si="6"/>
        <v>34.11080161185599</v>
      </c>
      <c r="W15" s="258">
        <f t="shared" si="6"/>
        <v>45.461155293161291</v>
      </c>
      <c r="X15" s="257">
        <f t="shared" si="6"/>
        <v>4.3920904048954288</v>
      </c>
      <c r="Y15" s="257">
        <f t="shared" si="6"/>
        <v>0.87095798458799956</v>
      </c>
      <c r="Z15" s="257">
        <f t="shared" si="6"/>
        <v>48.397694433966471</v>
      </c>
      <c r="AA15" s="259">
        <f t="shared" si="6"/>
        <v>0</v>
      </c>
      <c r="AB15" s="259">
        <f t="shared" si="6"/>
        <v>0</v>
      </c>
      <c r="AC15" s="258">
        <f t="shared" si="6"/>
        <v>99.121898116611206</v>
      </c>
    </row>
    <row r="16" spans="1:29">
      <c r="A16" s="11"/>
      <c r="B16" s="14" t="s">
        <v>35</v>
      </c>
      <c r="C16" s="15">
        <v>0</v>
      </c>
      <c r="D16" s="15">
        <v>0</v>
      </c>
      <c r="E16" s="15">
        <v>0</v>
      </c>
      <c r="F16" s="5">
        <f>C16+D16+E16</f>
        <v>0</v>
      </c>
      <c r="G16" s="15">
        <v>0</v>
      </c>
      <c r="H16" s="15">
        <v>0</v>
      </c>
      <c r="I16" s="15">
        <v>2.24482776E-3</v>
      </c>
      <c r="J16" s="15">
        <v>0</v>
      </c>
      <c r="K16" s="15">
        <v>0</v>
      </c>
      <c r="L16" s="15">
        <v>0</v>
      </c>
      <c r="M16" s="15">
        <v>0</v>
      </c>
      <c r="N16" s="15">
        <v>3.8862360000000012E-3</v>
      </c>
      <c r="O16" s="15">
        <v>0</v>
      </c>
      <c r="P16" s="15">
        <v>0</v>
      </c>
      <c r="Q16" s="15">
        <v>0</v>
      </c>
      <c r="R16" s="5">
        <f>SUM(G16:Q16)</f>
        <v>6.1310637600000013E-3</v>
      </c>
      <c r="S16" s="15">
        <v>6.3671612045999026E-2</v>
      </c>
      <c r="T16" s="15">
        <v>0</v>
      </c>
      <c r="U16" s="15">
        <v>0</v>
      </c>
      <c r="V16" s="16">
        <f>SUM(S16:U16)</f>
        <v>6.3671612045999026E-2</v>
      </c>
      <c r="W16" s="5">
        <f>F16+R16+V16</f>
        <v>6.9802675805999026E-2</v>
      </c>
      <c r="X16" s="15">
        <v>0</v>
      </c>
      <c r="Y16" s="15">
        <v>0</v>
      </c>
      <c r="Z16" s="15">
        <v>0</v>
      </c>
      <c r="AA16" s="6">
        <v>0</v>
      </c>
      <c r="AB16" s="6">
        <v>0</v>
      </c>
      <c r="AC16" s="5">
        <f>SUM(W16:Z16)</f>
        <v>6.9802675805999026E-2</v>
      </c>
    </row>
    <row r="17" spans="1:31">
      <c r="A17" s="11"/>
      <c r="B17" s="14" t="s">
        <v>38</v>
      </c>
      <c r="C17" s="15">
        <v>0</v>
      </c>
      <c r="D17" s="15">
        <v>0</v>
      </c>
      <c r="E17" s="15">
        <v>0.15866815000000001</v>
      </c>
      <c r="F17" s="5">
        <f t="shared" ref="F17:F24" si="7">C17+D17+E17</f>
        <v>0.15866815000000001</v>
      </c>
      <c r="G17" s="15">
        <v>0</v>
      </c>
      <c r="H17" s="15">
        <v>0</v>
      </c>
      <c r="I17" s="15">
        <v>7.1204537699999992E-4</v>
      </c>
      <c r="J17" s="15">
        <v>0</v>
      </c>
      <c r="K17" s="15">
        <v>0</v>
      </c>
      <c r="L17" s="15">
        <v>6.9550615690955997E-2</v>
      </c>
      <c r="M17" s="15">
        <v>0</v>
      </c>
      <c r="N17" s="15">
        <v>0.22275191983999998</v>
      </c>
      <c r="O17" s="15">
        <v>0</v>
      </c>
      <c r="P17" s="15">
        <v>5.9200250000000024E-3</v>
      </c>
      <c r="Q17" s="15">
        <v>0</v>
      </c>
      <c r="R17" s="5">
        <f t="shared" ref="R17:R24" si="8">SUM(G17:Q17)</f>
        <v>0.29893460590795595</v>
      </c>
      <c r="S17" s="15">
        <v>0.45487571287393358</v>
      </c>
      <c r="T17" s="15">
        <v>0</v>
      </c>
      <c r="U17" s="15">
        <v>0</v>
      </c>
      <c r="V17" s="16">
        <f t="shared" ref="V17:V24" si="9">SUM(S17:U17)</f>
        <v>0.45487571287393358</v>
      </c>
      <c r="W17" s="5">
        <f t="shared" ref="W17:W24" si="10">F17+R17+V17</f>
        <v>0.91247846878188954</v>
      </c>
      <c r="X17" s="15">
        <v>6.2216309999999997E-2</v>
      </c>
      <c r="Y17" s="15">
        <v>0</v>
      </c>
      <c r="Z17" s="15">
        <v>0.84512268719999817</v>
      </c>
      <c r="AA17" s="6">
        <v>0</v>
      </c>
      <c r="AB17" s="6">
        <v>0</v>
      </c>
      <c r="AC17" s="5">
        <f t="shared" ref="AC17:AC24" si="11">SUM(W17:Z17)</f>
        <v>1.8198174659818878</v>
      </c>
    </row>
    <row r="18" spans="1:31">
      <c r="A18" s="11"/>
      <c r="B18" s="14" t="s">
        <v>36</v>
      </c>
      <c r="C18" s="15">
        <v>0</v>
      </c>
      <c r="D18" s="15">
        <v>0</v>
      </c>
      <c r="E18" s="15">
        <v>0.11157439999999999</v>
      </c>
      <c r="F18" s="5">
        <f t="shared" si="7"/>
        <v>0.11157439999999999</v>
      </c>
      <c r="G18" s="15">
        <v>0</v>
      </c>
      <c r="H18" s="15">
        <v>0</v>
      </c>
      <c r="I18" s="15">
        <v>3.7999359550091011E-2</v>
      </c>
      <c r="J18" s="15">
        <v>0</v>
      </c>
      <c r="K18" s="15">
        <v>0</v>
      </c>
      <c r="L18" s="15">
        <v>0.53858611592464256</v>
      </c>
      <c r="M18" s="15">
        <v>0</v>
      </c>
      <c r="N18" s="15">
        <v>5.5157781060228055E-2</v>
      </c>
      <c r="O18" s="15">
        <v>0</v>
      </c>
      <c r="P18" s="15">
        <v>0</v>
      </c>
      <c r="Q18" s="15">
        <v>0</v>
      </c>
      <c r="R18" s="5">
        <f t="shared" si="8"/>
        <v>0.63174325653496166</v>
      </c>
      <c r="S18" s="15">
        <v>6.9477279689110736</v>
      </c>
      <c r="T18" s="15">
        <v>0</v>
      </c>
      <c r="U18" s="15">
        <v>0</v>
      </c>
      <c r="V18" s="16">
        <f t="shared" si="9"/>
        <v>6.9477279689110736</v>
      </c>
      <c r="W18" s="5">
        <f t="shared" si="10"/>
        <v>7.6910456254460353</v>
      </c>
      <c r="X18" s="15">
        <v>0</v>
      </c>
      <c r="Y18" s="15">
        <v>2.0268793E-2</v>
      </c>
      <c r="Z18" s="15">
        <v>5.4077917639420789</v>
      </c>
      <c r="AA18" s="6">
        <v>0</v>
      </c>
      <c r="AB18" s="6">
        <v>0</v>
      </c>
      <c r="AC18" s="5">
        <f t="shared" si="11"/>
        <v>13.119106182388114</v>
      </c>
    </row>
    <row r="19" spans="1:31">
      <c r="A19" s="11"/>
      <c r="B19" s="14" t="s">
        <v>33</v>
      </c>
      <c r="C19" s="15">
        <v>0</v>
      </c>
      <c r="D19" s="15">
        <v>7.3249999999999997E-4</v>
      </c>
      <c r="E19" s="15">
        <v>0</v>
      </c>
      <c r="F19" s="5">
        <f t="shared" si="7"/>
        <v>7.3249999999999997E-4</v>
      </c>
      <c r="G19" s="15">
        <v>0</v>
      </c>
      <c r="H19" s="15">
        <v>0</v>
      </c>
      <c r="I19" s="15">
        <v>0.13641284933346731</v>
      </c>
      <c r="J19" s="15">
        <v>0.17707614049616399</v>
      </c>
      <c r="K19" s="15">
        <v>0</v>
      </c>
      <c r="L19" s="15">
        <v>6.141552787890217</v>
      </c>
      <c r="M19" s="15">
        <v>0</v>
      </c>
      <c r="N19" s="15">
        <v>0.20748075177743647</v>
      </c>
      <c r="O19" s="15">
        <v>0</v>
      </c>
      <c r="P19" s="15">
        <v>0</v>
      </c>
      <c r="Q19" s="15">
        <v>0</v>
      </c>
      <c r="R19" s="5">
        <f t="shared" si="8"/>
        <v>6.6625225294972843</v>
      </c>
      <c r="S19" s="15">
        <v>6.5794731641534856</v>
      </c>
      <c r="T19" s="15">
        <v>0</v>
      </c>
      <c r="U19" s="15">
        <v>0</v>
      </c>
      <c r="V19" s="16">
        <f t="shared" si="9"/>
        <v>6.5794731641534856</v>
      </c>
      <c r="W19" s="5">
        <f t="shared" si="10"/>
        <v>13.24272819365077</v>
      </c>
      <c r="X19" s="15">
        <v>0.47487000000000001</v>
      </c>
      <c r="Y19" s="15">
        <v>0.60194363099799952</v>
      </c>
      <c r="Z19" s="15">
        <v>8.1216373926762166</v>
      </c>
      <c r="AA19" s="6">
        <v>0</v>
      </c>
      <c r="AB19" s="6">
        <v>0</v>
      </c>
      <c r="AC19" s="5">
        <f t="shared" si="11"/>
        <v>22.441179217324986</v>
      </c>
    </row>
    <row r="20" spans="1:31">
      <c r="A20" s="11"/>
      <c r="B20" s="14" t="s">
        <v>41</v>
      </c>
      <c r="C20" s="15">
        <v>0</v>
      </c>
      <c r="D20" s="15">
        <v>4.5483662999999952E-2</v>
      </c>
      <c r="E20" s="15">
        <v>-1.0947800000000001E-3</v>
      </c>
      <c r="F20" s="5">
        <f t="shared" si="7"/>
        <v>4.4388882999999948E-2</v>
      </c>
      <c r="G20" s="15">
        <v>0</v>
      </c>
      <c r="H20" s="15">
        <v>0</v>
      </c>
      <c r="I20" s="15">
        <v>9.8329590746062137E-2</v>
      </c>
      <c r="J20" s="15">
        <v>0</v>
      </c>
      <c r="K20" s="15">
        <v>0</v>
      </c>
      <c r="L20" s="15">
        <v>0.83076581022245177</v>
      </c>
      <c r="M20" s="15">
        <v>0</v>
      </c>
      <c r="N20" s="15">
        <v>0.90798485776912075</v>
      </c>
      <c r="O20" s="15">
        <v>0</v>
      </c>
      <c r="P20" s="15">
        <v>0</v>
      </c>
      <c r="Q20" s="15">
        <v>0</v>
      </c>
      <c r="R20" s="5">
        <f t="shared" si="8"/>
        <v>1.8370802587376347</v>
      </c>
      <c r="S20" s="15">
        <v>7.2420871481679132</v>
      </c>
      <c r="T20" s="15">
        <v>0</v>
      </c>
      <c r="U20" s="15">
        <v>0</v>
      </c>
      <c r="V20" s="16">
        <f t="shared" si="9"/>
        <v>7.2420871481679132</v>
      </c>
      <c r="W20" s="5">
        <f t="shared" si="10"/>
        <v>9.1235562899055473</v>
      </c>
      <c r="X20" s="15">
        <v>0</v>
      </c>
      <c r="Y20" s="15">
        <v>0.15766658219000007</v>
      </c>
      <c r="Z20" s="15">
        <v>10.777517464185561</v>
      </c>
      <c r="AA20" s="6">
        <v>0</v>
      </c>
      <c r="AB20" s="6">
        <v>0</v>
      </c>
      <c r="AC20" s="5">
        <f t="shared" si="11"/>
        <v>20.058740336281108</v>
      </c>
    </row>
    <row r="21" spans="1:31">
      <c r="A21" s="11"/>
      <c r="B21" s="14" t="s">
        <v>40</v>
      </c>
      <c r="C21" s="15">
        <v>0</v>
      </c>
      <c r="D21" s="15">
        <v>0</v>
      </c>
      <c r="E21" s="15">
        <v>0</v>
      </c>
      <c r="F21" s="5">
        <f t="shared" si="7"/>
        <v>0</v>
      </c>
      <c r="G21" s="15">
        <v>0</v>
      </c>
      <c r="H21" s="15">
        <v>0</v>
      </c>
      <c r="I21" s="15">
        <v>6.2368312986916764E-3</v>
      </c>
      <c r="J21" s="15">
        <v>0</v>
      </c>
      <c r="K21" s="15">
        <v>0</v>
      </c>
      <c r="L21" s="15">
        <v>4.3105495243907922E-2</v>
      </c>
      <c r="M21" s="15">
        <v>0</v>
      </c>
      <c r="N21" s="15">
        <v>1.5346453908877336E-2</v>
      </c>
      <c r="O21" s="15">
        <v>0</v>
      </c>
      <c r="P21" s="15">
        <v>0</v>
      </c>
      <c r="Q21" s="15">
        <v>0</v>
      </c>
      <c r="R21" s="5">
        <f t="shared" si="8"/>
        <v>6.4688780451476927E-2</v>
      </c>
      <c r="S21" s="15">
        <v>3.9634230005757067</v>
      </c>
      <c r="T21" s="15">
        <v>0</v>
      </c>
      <c r="U21" s="15">
        <v>0</v>
      </c>
      <c r="V21" s="16">
        <f t="shared" si="9"/>
        <v>3.9634230005757067</v>
      </c>
      <c r="W21" s="5">
        <f t="shared" si="10"/>
        <v>4.0281117810271834</v>
      </c>
      <c r="X21" s="15">
        <v>0</v>
      </c>
      <c r="Y21" s="15">
        <v>1.9397999999999999E-2</v>
      </c>
      <c r="Z21" s="15">
        <v>2.7344754590981495</v>
      </c>
      <c r="AA21" s="6">
        <v>0</v>
      </c>
      <c r="AB21" s="6">
        <v>0</v>
      </c>
      <c r="AC21" s="5">
        <f t="shared" si="11"/>
        <v>6.7819852401253327</v>
      </c>
    </row>
    <row r="22" spans="1:31">
      <c r="A22" s="11"/>
      <c r="B22" s="14" t="s">
        <v>37</v>
      </c>
      <c r="C22" s="15">
        <v>0</v>
      </c>
      <c r="D22" s="15">
        <v>7.852039999994842E-5</v>
      </c>
      <c r="E22" s="15">
        <v>1.0436270000000001E-2</v>
      </c>
      <c r="F22" s="5">
        <f t="shared" si="7"/>
        <v>1.0514790399999949E-2</v>
      </c>
      <c r="G22" s="15">
        <v>0</v>
      </c>
      <c r="H22" s="15">
        <v>0</v>
      </c>
      <c r="I22" s="15">
        <v>4.5910923805786374E-2</v>
      </c>
      <c r="J22" s="15">
        <v>2.9024999999999997E-6</v>
      </c>
      <c r="K22" s="15">
        <v>0</v>
      </c>
      <c r="L22" s="15">
        <v>0.20881870495472327</v>
      </c>
      <c r="M22" s="15">
        <v>0</v>
      </c>
      <c r="N22" s="15">
        <v>-1.2131777027999835E-2</v>
      </c>
      <c r="O22" s="15">
        <v>0</v>
      </c>
      <c r="P22" s="15">
        <v>0</v>
      </c>
      <c r="Q22" s="15">
        <v>0</v>
      </c>
      <c r="R22" s="5">
        <f t="shared" si="8"/>
        <v>0.24260075423250982</v>
      </c>
      <c r="S22" s="15">
        <v>1.0767462052923999</v>
      </c>
      <c r="T22" s="15">
        <v>0</v>
      </c>
      <c r="U22" s="15">
        <v>0</v>
      </c>
      <c r="V22" s="16">
        <f t="shared" si="9"/>
        <v>1.0767462052923999</v>
      </c>
      <c r="W22" s="5">
        <f t="shared" si="10"/>
        <v>1.3298617499249097</v>
      </c>
      <c r="X22" s="15">
        <v>1.0760059310000001</v>
      </c>
      <c r="Y22" s="15">
        <v>0</v>
      </c>
      <c r="Z22" s="15">
        <v>1.8510042782840566</v>
      </c>
      <c r="AA22" s="6">
        <v>0</v>
      </c>
      <c r="AB22" s="6">
        <v>0</v>
      </c>
      <c r="AC22" s="5">
        <f t="shared" si="11"/>
        <v>4.2568719592089668</v>
      </c>
    </row>
    <row r="23" spans="1:31">
      <c r="A23" s="11"/>
      <c r="B23" s="14" t="s">
        <v>39</v>
      </c>
      <c r="C23" s="15">
        <v>0</v>
      </c>
      <c r="D23" s="15">
        <v>0</v>
      </c>
      <c r="E23" s="15">
        <v>0</v>
      </c>
      <c r="F23" s="5">
        <f t="shared" si="7"/>
        <v>0</v>
      </c>
      <c r="G23" s="15">
        <v>0</v>
      </c>
      <c r="H23" s="15">
        <v>0</v>
      </c>
      <c r="I23" s="15">
        <v>5.6950570951867528E-2</v>
      </c>
      <c r="J23" s="15">
        <v>0</v>
      </c>
      <c r="K23" s="15">
        <v>0</v>
      </c>
      <c r="L23" s="15">
        <v>0.34388259705726382</v>
      </c>
      <c r="M23" s="15">
        <v>0</v>
      </c>
      <c r="N23" s="15">
        <v>4.9150300000000001E-2</v>
      </c>
      <c r="O23" s="15">
        <v>0</v>
      </c>
      <c r="P23" s="15">
        <v>0</v>
      </c>
      <c r="Q23" s="15">
        <v>0</v>
      </c>
      <c r="R23" s="5">
        <f t="shared" si="8"/>
        <v>0.4499834680091313</v>
      </c>
      <c r="S23" s="15">
        <v>0.53969360671919997</v>
      </c>
      <c r="T23" s="15">
        <v>0</v>
      </c>
      <c r="U23" s="15">
        <v>0</v>
      </c>
      <c r="V23" s="16">
        <f t="shared" si="9"/>
        <v>0.53969360671919997</v>
      </c>
      <c r="W23" s="5">
        <f t="shared" si="10"/>
        <v>0.98967707472833122</v>
      </c>
      <c r="X23" s="15">
        <v>0.66275824246685622</v>
      </c>
      <c r="Y23" s="15">
        <v>0</v>
      </c>
      <c r="Z23" s="15">
        <v>3.3297063332112988</v>
      </c>
      <c r="AA23" s="6">
        <v>0</v>
      </c>
      <c r="AB23" s="6">
        <v>0</v>
      </c>
      <c r="AC23" s="5">
        <f t="shared" si="11"/>
        <v>4.9821416504064864</v>
      </c>
    </row>
    <row r="24" spans="1:31">
      <c r="A24" s="260"/>
      <c r="B24" s="252" t="s">
        <v>34</v>
      </c>
      <c r="C24" s="261">
        <v>0</v>
      </c>
      <c r="D24" s="261">
        <v>0</v>
      </c>
      <c r="E24" s="261">
        <v>0</v>
      </c>
      <c r="F24" s="254">
        <f t="shared" si="7"/>
        <v>0</v>
      </c>
      <c r="G24" s="261">
        <v>0</v>
      </c>
      <c r="H24" s="261">
        <v>0</v>
      </c>
      <c r="I24" s="261">
        <v>5.1980747493540001E-2</v>
      </c>
      <c r="J24" s="261">
        <v>0</v>
      </c>
      <c r="K24" s="261">
        <v>0</v>
      </c>
      <c r="L24" s="261">
        <v>-2.3713699211196759E-2</v>
      </c>
      <c r="M24" s="261">
        <v>0</v>
      </c>
      <c r="N24" s="261">
        <v>7.2912792491999667E-2</v>
      </c>
      <c r="O24" s="261">
        <v>0</v>
      </c>
      <c r="P24" s="261">
        <v>0.72961039999999999</v>
      </c>
      <c r="Q24" s="261">
        <v>0</v>
      </c>
      <c r="R24" s="254">
        <f t="shared" si="8"/>
        <v>0.83079024077434294</v>
      </c>
      <c r="S24" s="261">
        <v>7.2431031931162835</v>
      </c>
      <c r="T24" s="261">
        <v>0</v>
      </c>
      <c r="U24" s="261">
        <v>0</v>
      </c>
      <c r="V24" s="262">
        <f t="shared" si="9"/>
        <v>7.2431031931162835</v>
      </c>
      <c r="W24" s="254">
        <f t="shared" si="10"/>
        <v>8.0738934338906265</v>
      </c>
      <c r="X24" s="261">
        <v>2.1162399214285728</v>
      </c>
      <c r="Y24" s="261">
        <v>7.1680978399999998E-2</v>
      </c>
      <c r="Z24" s="261">
        <v>15.330439055369112</v>
      </c>
      <c r="AA24" s="255">
        <v>0</v>
      </c>
      <c r="AB24" s="255">
        <v>0</v>
      </c>
      <c r="AC24" s="254">
        <f t="shared" si="11"/>
        <v>25.592253389088313</v>
      </c>
    </row>
    <row r="25" spans="1:31">
      <c r="A25" s="11" t="s">
        <v>115</v>
      </c>
      <c r="B25" s="143"/>
      <c r="C25" s="12">
        <f>SUM(C27:C33)</f>
        <v>0</v>
      </c>
      <c r="D25" s="52">
        <f t="shared" ref="D25:AC25" si="12">SUM(D27:D33)</f>
        <v>0.20888365520050314</v>
      </c>
      <c r="E25" s="12">
        <f t="shared" si="12"/>
        <v>0</v>
      </c>
      <c r="F25" s="5">
        <f t="shared" si="12"/>
        <v>0.20888365520050314</v>
      </c>
      <c r="G25" s="52">
        <f t="shared" si="12"/>
        <v>0</v>
      </c>
      <c r="H25" s="52">
        <f t="shared" si="12"/>
        <v>0</v>
      </c>
      <c r="I25" s="52">
        <f t="shared" si="12"/>
        <v>2.449334066259019E-2</v>
      </c>
      <c r="J25" s="52">
        <f t="shared" si="12"/>
        <v>0.10148290284892604</v>
      </c>
      <c r="K25" s="52">
        <f t="shared" si="12"/>
        <v>0</v>
      </c>
      <c r="L25" s="52">
        <f t="shared" si="12"/>
        <v>11.080486705586553</v>
      </c>
      <c r="M25" s="52">
        <f t="shared" si="12"/>
        <v>0</v>
      </c>
      <c r="N25" s="52">
        <f t="shared" si="12"/>
        <v>0.93241406698096574</v>
      </c>
      <c r="O25" s="52">
        <f t="shared" si="12"/>
        <v>0</v>
      </c>
      <c r="P25" s="52">
        <f t="shared" si="12"/>
        <v>0</v>
      </c>
      <c r="Q25" s="52">
        <f t="shared" si="12"/>
        <v>0</v>
      </c>
      <c r="R25" s="5">
        <f t="shared" si="12"/>
        <v>12.138877016079034</v>
      </c>
      <c r="S25" s="52">
        <f t="shared" si="12"/>
        <v>13.121942999999998</v>
      </c>
      <c r="T25" s="12">
        <f t="shared" si="12"/>
        <v>0</v>
      </c>
      <c r="U25" s="12">
        <f t="shared" si="12"/>
        <v>0</v>
      </c>
      <c r="V25" s="5">
        <f t="shared" si="12"/>
        <v>13.121942999999998</v>
      </c>
      <c r="W25" s="5">
        <f t="shared" si="12"/>
        <v>25.469703671279532</v>
      </c>
      <c r="X25" s="12">
        <f t="shared" si="12"/>
        <v>0</v>
      </c>
      <c r="Y25" s="52">
        <f t="shared" si="12"/>
        <v>2.15641768847243</v>
      </c>
      <c r="Z25" s="348">
        <f t="shared" si="12"/>
        <v>-0.878572647494688</v>
      </c>
      <c r="AA25" s="13">
        <f t="shared" si="12"/>
        <v>0</v>
      </c>
      <c r="AB25" s="13">
        <f t="shared" si="12"/>
        <v>0</v>
      </c>
      <c r="AC25" s="54">
        <f t="shared" si="12"/>
        <v>26.747548712257277</v>
      </c>
      <c r="AE25" s="49"/>
    </row>
    <row r="26" spans="1:31">
      <c r="A26" s="11"/>
      <c r="B26" s="143"/>
      <c r="C26" s="12"/>
      <c r="D26" s="52"/>
      <c r="E26" s="12"/>
      <c r="F26" s="5"/>
      <c r="G26" s="52"/>
      <c r="H26" s="52"/>
      <c r="I26" s="52"/>
      <c r="J26" s="52"/>
      <c r="K26" s="52"/>
      <c r="L26" s="52"/>
      <c r="M26" s="52"/>
      <c r="N26" s="52"/>
      <c r="O26" s="52"/>
      <c r="P26" s="52"/>
      <c r="Q26" s="52"/>
      <c r="R26" s="5"/>
      <c r="S26" s="52"/>
      <c r="T26" s="12"/>
      <c r="U26" s="12"/>
      <c r="V26" s="5"/>
      <c r="W26" s="5"/>
      <c r="X26" s="12"/>
      <c r="Y26" s="63"/>
      <c r="Z26" s="63">
        <v>2.3388879215053437</v>
      </c>
      <c r="AA26" s="300"/>
      <c r="AB26" s="13"/>
      <c r="AC26" s="54"/>
      <c r="AE26" s="49"/>
    </row>
    <row r="27" spans="1:31">
      <c r="A27" s="3"/>
      <c r="B27" s="14" t="s">
        <v>167</v>
      </c>
      <c r="C27" s="4">
        <v>0</v>
      </c>
      <c r="D27" s="4">
        <v>1.216028965681021E-2</v>
      </c>
      <c r="E27" s="4">
        <v>0</v>
      </c>
      <c r="F27" s="5">
        <f t="shared" si="1"/>
        <v>1.216028965681021E-2</v>
      </c>
      <c r="G27" s="4"/>
      <c r="H27" s="4"/>
      <c r="I27" s="4">
        <v>1.1515256875146705E-2</v>
      </c>
      <c r="J27" s="4">
        <v>2.5269448014061439E-3</v>
      </c>
      <c r="K27" s="4"/>
      <c r="L27" s="4">
        <v>5.7232441494046729</v>
      </c>
      <c r="M27" s="4">
        <v>0</v>
      </c>
      <c r="N27" s="4">
        <v>0</v>
      </c>
      <c r="O27" s="4">
        <v>0</v>
      </c>
      <c r="P27" s="4">
        <v>0</v>
      </c>
      <c r="Q27" s="4">
        <v>0</v>
      </c>
      <c r="R27" s="5">
        <f t="shared" si="2"/>
        <v>5.7372863510812255</v>
      </c>
      <c r="S27" s="4">
        <v>0.15661599999999998</v>
      </c>
      <c r="T27" s="4">
        <v>0</v>
      </c>
      <c r="U27" s="4">
        <v>0</v>
      </c>
      <c r="V27" s="5">
        <f t="shared" si="3"/>
        <v>0.15661599999999998</v>
      </c>
      <c r="W27" s="5">
        <f t="shared" si="4"/>
        <v>5.9060626407380354</v>
      </c>
      <c r="X27" s="4">
        <v>0</v>
      </c>
      <c r="Y27" s="4">
        <v>1.1398514487638585</v>
      </c>
      <c r="Z27" s="4">
        <v>2.0298836914009635</v>
      </c>
      <c r="AA27" s="6">
        <v>0</v>
      </c>
      <c r="AB27" s="6">
        <v>0</v>
      </c>
      <c r="AC27" s="5">
        <f t="shared" si="5"/>
        <v>9.0757977809028567</v>
      </c>
    </row>
    <row r="28" spans="1:31">
      <c r="A28" s="3"/>
      <c r="B28" s="14" t="s">
        <v>168</v>
      </c>
      <c r="C28" s="4">
        <v>0</v>
      </c>
      <c r="D28" s="4">
        <v>3.2916427119333906E-4</v>
      </c>
      <c r="E28" s="4">
        <v>0</v>
      </c>
      <c r="F28" s="5">
        <f t="shared" si="1"/>
        <v>3.2916427119333906E-4</v>
      </c>
      <c r="G28" s="4"/>
      <c r="H28" s="4"/>
      <c r="I28" s="4">
        <v>3.0816399639897536E-3</v>
      </c>
      <c r="J28" s="4">
        <v>4.8222195689959625E-5</v>
      </c>
      <c r="K28" s="4"/>
      <c r="L28" s="4">
        <v>1.6844584348927525</v>
      </c>
      <c r="M28" s="4">
        <v>0</v>
      </c>
      <c r="N28" s="4">
        <v>0</v>
      </c>
      <c r="O28" s="4">
        <v>0</v>
      </c>
      <c r="P28" s="4">
        <v>0</v>
      </c>
      <c r="Q28" s="4">
        <v>0</v>
      </c>
      <c r="R28" s="5">
        <f t="shared" si="2"/>
        <v>1.6875882970524323</v>
      </c>
      <c r="S28" s="4">
        <v>0</v>
      </c>
      <c r="T28" s="4">
        <v>0</v>
      </c>
      <c r="U28" s="4">
        <v>0</v>
      </c>
      <c r="V28" s="5">
        <f t="shared" si="3"/>
        <v>0</v>
      </c>
      <c r="W28" s="5">
        <f t="shared" si="4"/>
        <v>1.6879174613236256</v>
      </c>
      <c r="X28" s="4">
        <v>0</v>
      </c>
      <c r="Y28" s="4">
        <v>0.539654937</v>
      </c>
      <c r="Z28" s="4">
        <v>0.73193253339905706</v>
      </c>
      <c r="AA28" s="6">
        <v>0</v>
      </c>
      <c r="AB28" s="6">
        <v>0</v>
      </c>
      <c r="AC28" s="5">
        <f t="shared" si="5"/>
        <v>2.9595049317226825</v>
      </c>
    </row>
    <row r="29" spans="1:31">
      <c r="A29" s="3"/>
      <c r="B29" s="14" t="s">
        <v>169</v>
      </c>
      <c r="C29" s="4">
        <v>0</v>
      </c>
      <c r="D29" s="4">
        <v>7.8805964280621907E-2</v>
      </c>
      <c r="E29" s="4">
        <v>0</v>
      </c>
      <c r="F29" s="5">
        <f t="shared" si="1"/>
        <v>7.8805964280621907E-2</v>
      </c>
      <c r="G29" s="4"/>
      <c r="H29" s="4"/>
      <c r="I29" s="4">
        <v>4.1205546807372541E-3</v>
      </c>
      <c r="J29" s="4">
        <v>6.6624180063283155E-4</v>
      </c>
      <c r="K29" s="4"/>
      <c r="L29" s="4">
        <v>0.67276766690110157</v>
      </c>
      <c r="M29" s="4">
        <v>0</v>
      </c>
      <c r="N29" s="4">
        <v>0.81332582208126469</v>
      </c>
      <c r="O29" s="4">
        <v>0</v>
      </c>
      <c r="P29" s="4">
        <v>0</v>
      </c>
      <c r="Q29" s="4">
        <v>0</v>
      </c>
      <c r="R29" s="5">
        <f t="shared" si="2"/>
        <v>1.4908802854637364</v>
      </c>
      <c r="S29" s="4">
        <v>12.945658999999999</v>
      </c>
      <c r="T29" s="4">
        <v>0</v>
      </c>
      <c r="U29" s="4">
        <v>0</v>
      </c>
      <c r="V29" s="5">
        <f t="shared" si="3"/>
        <v>12.945658999999999</v>
      </c>
      <c r="W29" s="5">
        <f t="shared" si="4"/>
        <v>14.515345249744357</v>
      </c>
      <c r="X29" s="4">
        <v>0</v>
      </c>
      <c r="Y29" s="4">
        <v>0.47691130270857152</v>
      </c>
      <c r="Z29" s="4">
        <v>-4.585323919615516</v>
      </c>
      <c r="AA29" s="6">
        <v>0</v>
      </c>
      <c r="AB29" s="6">
        <v>0</v>
      </c>
      <c r="AC29" s="5">
        <f t="shared" si="5"/>
        <v>10.406932632837414</v>
      </c>
    </row>
    <row r="30" spans="1:31">
      <c r="A30" s="3"/>
      <c r="B30" s="14" t="s">
        <v>170</v>
      </c>
      <c r="C30" s="4">
        <v>0</v>
      </c>
      <c r="D30" s="4">
        <v>0.11758823699187769</v>
      </c>
      <c r="E30" s="4">
        <v>0</v>
      </c>
      <c r="F30" s="5">
        <f t="shared" si="1"/>
        <v>0.11758823699187769</v>
      </c>
      <c r="G30" s="4"/>
      <c r="H30" s="4"/>
      <c r="I30" s="4">
        <v>5.774088585202476E-3</v>
      </c>
      <c r="J30" s="4">
        <v>6.556807465123631E-3</v>
      </c>
      <c r="K30" s="4"/>
      <c r="L30" s="4">
        <v>0.98893798643717568</v>
      </c>
      <c r="M30" s="4">
        <v>0</v>
      </c>
      <c r="N30" s="4">
        <v>0.11908824489970107</v>
      </c>
      <c r="O30" s="4">
        <v>0</v>
      </c>
      <c r="P30" s="4">
        <v>0</v>
      </c>
      <c r="Q30" s="4">
        <v>0</v>
      </c>
      <c r="R30" s="5">
        <f t="shared" si="2"/>
        <v>1.1203571273872028</v>
      </c>
      <c r="S30" s="4">
        <v>1.9667999999999998E-2</v>
      </c>
      <c r="T30" s="4">
        <v>0</v>
      </c>
      <c r="U30" s="4">
        <v>0</v>
      </c>
      <c r="V30" s="5">
        <f t="shared" si="3"/>
        <v>1.9667999999999998E-2</v>
      </c>
      <c r="W30" s="5">
        <f t="shared" si="4"/>
        <v>1.2576133643790806</v>
      </c>
      <c r="X30" s="4">
        <v>0</v>
      </c>
      <c r="Y30" s="4">
        <v>0</v>
      </c>
      <c r="Z30" s="4">
        <v>0.94488535090480763</v>
      </c>
      <c r="AA30" s="6">
        <v>0</v>
      </c>
      <c r="AB30" s="6">
        <v>0</v>
      </c>
      <c r="AC30" s="5">
        <f t="shared" si="5"/>
        <v>2.2024987152838884</v>
      </c>
    </row>
    <row r="31" spans="1:31">
      <c r="A31" s="3"/>
      <c r="B31" s="14" t="s">
        <v>171</v>
      </c>
      <c r="C31" s="4">
        <v>0</v>
      </c>
      <c r="D31" s="4">
        <v>0</v>
      </c>
      <c r="E31" s="4">
        <v>0</v>
      </c>
      <c r="F31" s="5">
        <f t="shared" si="1"/>
        <v>0</v>
      </c>
      <c r="G31" s="4"/>
      <c r="H31" s="4"/>
      <c r="I31" s="4">
        <v>0</v>
      </c>
      <c r="J31" s="4">
        <v>0</v>
      </c>
      <c r="K31" s="4"/>
      <c r="L31" s="4">
        <v>2.0006832911400001</v>
      </c>
      <c r="M31" s="4">
        <v>0</v>
      </c>
      <c r="N31" s="4">
        <v>0</v>
      </c>
      <c r="O31" s="4">
        <v>0</v>
      </c>
      <c r="P31" s="4">
        <v>0</v>
      </c>
      <c r="Q31" s="4">
        <v>0</v>
      </c>
      <c r="R31" s="5">
        <f t="shared" si="2"/>
        <v>2.0006832911400001</v>
      </c>
      <c r="S31" s="4">
        <v>0</v>
      </c>
      <c r="T31" s="4">
        <v>0</v>
      </c>
      <c r="U31" s="4">
        <v>0</v>
      </c>
      <c r="V31" s="5">
        <f t="shared" si="3"/>
        <v>0</v>
      </c>
      <c r="W31" s="5">
        <f t="shared" si="4"/>
        <v>2.0006832911400001</v>
      </c>
      <c r="X31" s="4">
        <v>0</v>
      </c>
      <c r="Y31" s="4">
        <v>0</v>
      </c>
      <c r="Z31" s="4">
        <v>0</v>
      </c>
      <c r="AA31" s="6">
        <v>0</v>
      </c>
      <c r="AB31" s="6">
        <v>0</v>
      </c>
      <c r="AC31" s="5">
        <f t="shared" si="5"/>
        <v>2.0006832911400001</v>
      </c>
    </row>
    <row r="32" spans="1:31">
      <c r="A32" s="3"/>
      <c r="B32" s="14" t="s">
        <v>172</v>
      </c>
      <c r="C32" s="4">
        <v>0</v>
      </c>
      <c r="D32" s="4">
        <v>0</v>
      </c>
      <c r="E32" s="4">
        <v>0</v>
      </c>
      <c r="F32" s="5">
        <f t="shared" si="1"/>
        <v>0</v>
      </c>
      <c r="G32" s="4"/>
      <c r="H32" s="4"/>
      <c r="I32" s="4">
        <v>1.8005575139999998E-6</v>
      </c>
      <c r="J32" s="4">
        <v>8.8712052311077635E-2</v>
      </c>
      <c r="K32" s="4"/>
      <c r="L32" s="4">
        <v>6.9807636065909711E-3</v>
      </c>
      <c r="M32" s="4">
        <v>0</v>
      </c>
      <c r="N32" s="4">
        <v>0</v>
      </c>
      <c r="O32" s="4">
        <v>0</v>
      </c>
      <c r="P32" s="4">
        <v>0</v>
      </c>
      <c r="Q32" s="4">
        <v>0</v>
      </c>
      <c r="R32" s="5">
        <f t="shared" si="2"/>
        <v>9.5694616475182612E-2</v>
      </c>
      <c r="S32" s="4">
        <v>0</v>
      </c>
      <c r="T32" s="4">
        <v>0</v>
      </c>
      <c r="U32" s="4">
        <v>0</v>
      </c>
      <c r="V32" s="5">
        <f t="shared" si="3"/>
        <v>0</v>
      </c>
      <c r="W32" s="5">
        <f t="shared" si="4"/>
        <v>9.5694616475182612E-2</v>
      </c>
      <c r="X32" s="4">
        <v>0</v>
      </c>
      <c r="Y32" s="4">
        <v>0</v>
      </c>
      <c r="Z32" s="4">
        <v>0</v>
      </c>
      <c r="AA32" s="6">
        <v>0</v>
      </c>
      <c r="AB32" s="6">
        <v>0</v>
      </c>
      <c r="AC32" s="5">
        <f t="shared" si="5"/>
        <v>9.5694616475182612E-2</v>
      </c>
    </row>
    <row r="33" spans="1:29">
      <c r="A33" s="7"/>
      <c r="B33" s="142" t="s">
        <v>173</v>
      </c>
      <c r="C33" s="8">
        <v>0</v>
      </c>
      <c r="D33" s="8">
        <v>0</v>
      </c>
      <c r="E33" s="8">
        <v>0</v>
      </c>
      <c r="F33" s="9">
        <f t="shared" si="1"/>
        <v>0</v>
      </c>
      <c r="G33" s="8"/>
      <c r="H33" s="8"/>
      <c r="I33" s="8">
        <v>0</v>
      </c>
      <c r="J33" s="8">
        <v>2.9726342749958399E-3</v>
      </c>
      <c r="K33" s="8"/>
      <c r="L33" s="8">
        <v>3.4144132042593003E-3</v>
      </c>
      <c r="M33" s="8">
        <v>0</v>
      </c>
      <c r="N33" s="8">
        <v>0</v>
      </c>
      <c r="O33" s="8">
        <v>0</v>
      </c>
      <c r="P33" s="8">
        <v>0</v>
      </c>
      <c r="Q33" s="8">
        <v>0</v>
      </c>
      <c r="R33" s="9">
        <f t="shared" si="2"/>
        <v>6.3870474792551406E-3</v>
      </c>
      <c r="S33" s="8">
        <v>0</v>
      </c>
      <c r="T33" s="8">
        <v>0</v>
      </c>
      <c r="U33" s="8">
        <v>0</v>
      </c>
      <c r="V33" s="9">
        <f t="shared" si="3"/>
        <v>0</v>
      </c>
      <c r="W33" s="9">
        <f t="shared" si="4"/>
        <v>6.3870474792551406E-3</v>
      </c>
      <c r="X33" s="8">
        <v>0</v>
      </c>
      <c r="Y33" s="8">
        <v>0</v>
      </c>
      <c r="Z33" s="8">
        <v>4.9696416000000005E-5</v>
      </c>
      <c r="AA33" s="10">
        <v>0</v>
      </c>
      <c r="AB33" s="10">
        <v>0</v>
      </c>
      <c r="AC33" s="9">
        <f t="shared" si="5"/>
        <v>6.4367438952551408E-3</v>
      </c>
    </row>
  </sheetData>
  <mergeCells count="1">
    <mergeCell ref="A1:B4"/>
  </mergeCells>
  <pageMargins left="0.7" right="0.7" top="0.75" bottom="0.75" header="0.3" footer="0.3"/>
  <pageSetup paperSize="9" orientation="portrait" r:id="rId1"/>
  <ignoredErrors>
    <ignoredError sqref="Z25" formulaRange="1"/>
    <ignoredError sqref="V8:W33 AC8"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9"/>
  <sheetViews>
    <sheetView showGridLines="0" workbookViewId="0">
      <selection activeCell="C2" sqref="C2"/>
    </sheetView>
  </sheetViews>
  <sheetFormatPr defaultRowHeight="15"/>
  <cols>
    <col min="1" max="1" width="39.140625" bestFit="1" customWidth="1"/>
    <col min="2" max="2" width="54.5703125" customWidth="1"/>
    <col min="3" max="3" width="111.28515625" customWidth="1"/>
  </cols>
  <sheetData>
    <row r="1" spans="1:3" ht="15.75" thickBot="1"/>
    <row r="2" spans="1:3" s="472" customFormat="1" ht="55.5" customHeight="1" thickBot="1">
      <c r="A2" s="503" t="s">
        <v>424</v>
      </c>
      <c r="B2" s="501"/>
      <c r="C2" s="502"/>
    </row>
    <row r="3" spans="1:3" s="26" customFormat="1" ht="15.75">
      <c r="A3" s="113"/>
      <c r="B3" s="85"/>
      <c r="C3" s="114"/>
    </row>
    <row r="4" spans="1:3" s="382" customFormat="1">
      <c r="A4" s="480" t="s">
        <v>400</v>
      </c>
      <c r="B4" s="504" t="s">
        <v>412</v>
      </c>
      <c r="C4" s="505" t="s">
        <v>411</v>
      </c>
    </row>
    <row r="5" spans="1:3" s="382" customFormat="1">
      <c r="A5" s="506"/>
      <c r="B5" s="405"/>
      <c r="C5" s="456"/>
    </row>
    <row r="6" spans="1:3" s="382" customFormat="1">
      <c r="A6" s="507" t="s">
        <v>395</v>
      </c>
      <c r="B6" s="508" t="s">
        <v>415</v>
      </c>
      <c r="C6" s="509" t="s">
        <v>394</v>
      </c>
    </row>
    <row r="7" spans="1:3" s="382" customFormat="1">
      <c r="A7" s="510" t="s">
        <v>667</v>
      </c>
      <c r="B7" s="511" t="s">
        <v>711</v>
      </c>
      <c r="C7" s="512" t="s">
        <v>710</v>
      </c>
    </row>
    <row r="8" spans="1:3" s="382" customFormat="1">
      <c r="A8" s="548"/>
      <c r="B8" s="511"/>
      <c r="C8" s="512"/>
    </row>
    <row r="9" spans="1:3" ht="21">
      <c r="A9" s="141" t="s">
        <v>557</v>
      </c>
      <c r="B9" s="140"/>
      <c r="C9" s="137"/>
    </row>
  </sheetData>
  <sheetProtection password="DF9B" sheet="1" objects="1" scenarios="1"/>
  <hyperlinks>
    <hyperlink ref="A6" location="'SEAP template'!A1" display="SEAP Nulmeting"/>
    <hyperlink ref="A7" location="'Nulmeting 2011'!A1" display="Nulmeting 2011"/>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27"/>
  <sheetViews>
    <sheetView showGridLines="0" workbookViewId="0">
      <selection activeCell="C19" sqref="C19"/>
    </sheetView>
  </sheetViews>
  <sheetFormatPr defaultRowHeight="15"/>
  <cols>
    <col min="1" max="1" width="54" customWidth="1"/>
    <col min="2" max="2" width="69.85546875" customWidth="1"/>
    <col min="3" max="3" width="117.85546875" bestFit="1" customWidth="1"/>
  </cols>
  <sheetData>
    <row r="1" spans="1:3" ht="15.75" thickBot="1"/>
    <row r="2" spans="1:3" s="22" customFormat="1" ht="60.75" customHeight="1" thickBot="1">
      <c r="A2" s="1094" t="s">
        <v>559</v>
      </c>
      <c r="B2" s="1095"/>
      <c r="C2" s="126"/>
    </row>
    <row r="3" spans="1:3" s="26" customFormat="1" ht="15.75">
      <c r="A3" s="113"/>
      <c r="B3" s="85"/>
      <c r="C3" s="114"/>
    </row>
    <row r="4" spans="1:3">
      <c r="A4" s="110" t="s">
        <v>400</v>
      </c>
      <c r="B4" s="84" t="s">
        <v>412</v>
      </c>
      <c r="C4" s="115" t="s">
        <v>411</v>
      </c>
    </row>
    <row r="5" spans="1:3">
      <c r="A5" s="127"/>
      <c r="B5" s="56"/>
      <c r="C5" s="111"/>
    </row>
    <row r="6" spans="1:3" s="22" customFormat="1" ht="30">
      <c r="A6" s="128" t="s">
        <v>200</v>
      </c>
      <c r="B6" s="145" t="s">
        <v>561</v>
      </c>
      <c r="C6" s="179" t="s">
        <v>579</v>
      </c>
    </row>
    <row r="7" spans="1:3" s="22" customFormat="1">
      <c r="A7" s="147"/>
      <c r="B7" s="148"/>
      <c r="C7" s="149"/>
    </row>
    <row r="8" spans="1:3" s="22" customFormat="1" ht="60">
      <c r="A8" s="128" t="s">
        <v>158</v>
      </c>
      <c r="B8" s="145" t="s">
        <v>561</v>
      </c>
      <c r="C8" s="360" t="s">
        <v>580</v>
      </c>
    </row>
    <row r="9" spans="1:3" s="22" customFormat="1">
      <c r="A9" s="147"/>
      <c r="B9" s="148"/>
      <c r="C9" s="149"/>
    </row>
    <row r="10" spans="1:3" s="22" customFormat="1" ht="60">
      <c r="A10" s="128" t="s">
        <v>159</v>
      </c>
      <c r="B10" s="145" t="s">
        <v>561</v>
      </c>
      <c r="C10" s="360" t="s">
        <v>580</v>
      </c>
    </row>
    <row r="11" spans="1:3" s="22" customFormat="1">
      <c r="A11" s="147"/>
      <c r="B11" s="148"/>
      <c r="C11" s="149"/>
    </row>
    <row r="12" spans="1:3" s="22" customFormat="1" ht="60">
      <c r="A12" s="128" t="s">
        <v>429</v>
      </c>
      <c r="B12" s="145" t="s">
        <v>561</v>
      </c>
      <c r="C12" s="360" t="s">
        <v>580</v>
      </c>
    </row>
    <row r="13" spans="1:3" s="22" customFormat="1">
      <c r="A13" s="147"/>
      <c r="B13" s="148"/>
      <c r="C13" s="149"/>
    </row>
    <row r="14" spans="1:3" s="22" customFormat="1" ht="60">
      <c r="A14" s="128" t="s">
        <v>115</v>
      </c>
      <c r="B14" s="145" t="s">
        <v>581</v>
      </c>
      <c r="C14" s="360" t="s">
        <v>580</v>
      </c>
    </row>
    <row r="15" spans="1:3" s="22" customFormat="1" ht="63">
      <c r="A15" s="138"/>
      <c r="B15" s="145" t="s">
        <v>582</v>
      </c>
      <c r="C15" s="360" t="s">
        <v>586</v>
      </c>
    </row>
    <row r="16" spans="1:3" s="22" customFormat="1">
      <c r="A16" s="147"/>
      <c r="B16" s="148"/>
      <c r="C16" s="149"/>
    </row>
    <row r="17" spans="1:3" s="22" customFormat="1" ht="45">
      <c r="A17" s="128" t="s">
        <v>560</v>
      </c>
      <c r="B17" s="145" t="s">
        <v>645</v>
      </c>
      <c r="C17" s="179" t="s">
        <v>646</v>
      </c>
    </row>
    <row r="18" spans="1:3" s="22" customFormat="1">
      <c r="A18" s="147"/>
      <c r="B18" s="148"/>
      <c r="C18" s="149"/>
    </row>
    <row r="19" spans="1:3" s="22" customFormat="1" ht="60">
      <c r="A19" s="128" t="s">
        <v>432</v>
      </c>
      <c r="B19" s="359" t="s">
        <v>643</v>
      </c>
      <c r="C19" s="179" t="s">
        <v>644</v>
      </c>
    </row>
    <row r="20" spans="1:3" s="22" customFormat="1">
      <c r="A20" s="128"/>
      <c r="B20" s="145"/>
      <c r="C20" s="146"/>
    </row>
    <row r="21" spans="1:3" ht="21">
      <c r="A21" s="141" t="s">
        <v>563</v>
      </c>
      <c r="B21" s="140"/>
      <c r="C21" s="137"/>
    </row>
    <row r="27" spans="1:3">
      <c r="B27" t="s">
        <v>249</v>
      </c>
    </row>
  </sheetData>
  <sheetProtection password="849B" sheet="1" objects="1" scenarios="1"/>
  <mergeCells count="1">
    <mergeCell ref="A2:B2"/>
  </mergeCells>
  <hyperlinks>
    <hyperlink ref="A6" location="'openbare verlichting'!A1" display="openbare verlichting"/>
    <hyperlink ref="A8" location="huishoudens!A1" display="huishoudens"/>
    <hyperlink ref="A10" location="tertiair!A1" display="tertiair"/>
    <hyperlink ref="A12" location="industrie!A1" display="industrie"/>
    <hyperlink ref="A14" location="landbouw!A1" display="landbouw"/>
    <hyperlink ref="A17" location="transport!A1" display="transport"/>
    <hyperlink ref="A19" location="'lokale energieproductie'!A1" display="lokale energieproducti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249977111117893"/>
  </sheetPr>
  <dimension ref="A1:P12"/>
  <sheetViews>
    <sheetView showGridLines="0" zoomScale="80" zoomScaleNormal="80" workbookViewId="0">
      <selection activeCell="B5" sqref="B5"/>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82" customFormat="1" ht="17.25" thickTop="1" thickBot="1">
      <c r="A1" s="1096" t="s">
        <v>200</v>
      </c>
      <c r="B1" s="1097" t="s">
        <v>201</v>
      </c>
      <c r="C1" s="1098"/>
      <c r="D1" s="1098"/>
      <c r="E1" s="1098"/>
      <c r="F1" s="1098"/>
      <c r="G1" s="1098"/>
      <c r="H1" s="1098"/>
      <c r="I1" s="1098"/>
      <c r="J1" s="1098"/>
      <c r="K1" s="1098"/>
      <c r="L1" s="1098"/>
      <c r="M1" s="1098"/>
      <c r="N1" s="1098"/>
      <c r="O1" s="1098"/>
      <c r="P1" s="1098"/>
    </row>
    <row r="2" spans="1:16" s="382" customFormat="1" ht="15.75" thickTop="1">
      <c r="A2" s="1096"/>
      <c r="B2" s="1099" t="s">
        <v>21</v>
      </c>
      <c r="C2" s="1099" t="s">
        <v>202</v>
      </c>
      <c r="D2" s="1101" t="s">
        <v>203</v>
      </c>
      <c r="E2" s="1102"/>
      <c r="F2" s="1102"/>
      <c r="G2" s="1102"/>
      <c r="H2" s="1102"/>
      <c r="I2" s="1102"/>
      <c r="J2" s="1102"/>
      <c r="K2" s="1103"/>
      <c r="L2" s="1101" t="s">
        <v>204</v>
      </c>
      <c r="M2" s="1102"/>
      <c r="N2" s="1102"/>
      <c r="O2" s="1102"/>
      <c r="P2" s="1103"/>
    </row>
    <row r="3" spans="1:16" s="382" customFormat="1" ht="45">
      <c r="A3" s="1096"/>
      <c r="B3" s="1100"/>
      <c r="C3" s="1100"/>
      <c r="D3" s="434" t="s">
        <v>205</v>
      </c>
      <c r="E3" s="434" t="s">
        <v>206</v>
      </c>
      <c r="F3" s="434" t="s">
        <v>207</v>
      </c>
      <c r="G3" s="434" t="s">
        <v>208</v>
      </c>
      <c r="H3" s="434" t="s">
        <v>123</v>
      </c>
      <c r="I3" s="434" t="s">
        <v>209</v>
      </c>
      <c r="J3" s="434" t="s">
        <v>210</v>
      </c>
      <c r="K3" s="434" t="s">
        <v>211</v>
      </c>
      <c r="L3" s="434" t="s">
        <v>212</v>
      </c>
      <c r="M3" s="434" t="s">
        <v>213</v>
      </c>
      <c r="N3" s="434" t="s">
        <v>214</v>
      </c>
      <c r="O3" s="434" t="s">
        <v>215</v>
      </c>
      <c r="P3" s="434" t="s">
        <v>216</v>
      </c>
    </row>
    <row r="4" spans="1:16" s="26" customFormat="1" ht="15.75">
      <c r="A4" s="24"/>
      <c r="B4" s="25"/>
      <c r="C4" s="25"/>
      <c r="D4" s="25"/>
      <c r="E4" s="25"/>
      <c r="F4" s="25"/>
      <c r="G4" s="25"/>
      <c r="H4" s="25"/>
      <c r="I4" s="25"/>
      <c r="J4" s="25"/>
      <c r="K4" s="25"/>
      <c r="L4" s="25"/>
      <c r="M4" s="25"/>
      <c r="N4" s="25"/>
      <c r="O4" s="25"/>
      <c r="P4" s="25"/>
    </row>
    <row r="5" spans="1:16">
      <c r="A5" s="27" t="s">
        <v>638</v>
      </c>
      <c r="B5" s="41">
        <f>SUM(OV_ov_ele_kWh,OV_rest_ele_kWh)/1000</f>
        <v>1028.8810000000001</v>
      </c>
      <c r="C5" s="29" t="s">
        <v>217</v>
      </c>
      <c r="D5" s="29" t="s">
        <v>217</v>
      </c>
      <c r="E5" s="29" t="s">
        <v>217</v>
      </c>
      <c r="F5" s="29" t="s">
        <v>217</v>
      </c>
      <c r="G5" s="29" t="s">
        <v>217</v>
      </c>
      <c r="H5" s="29" t="s">
        <v>217</v>
      </c>
      <c r="I5" s="29" t="s">
        <v>217</v>
      </c>
      <c r="J5" s="29" t="s">
        <v>217</v>
      </c>
      <c r="K5" s="29" t="s">
        <v>217</v>
      </c>
      <c r="L5" s="29" t="s">
        <v>217</v>
      </c>
      <c r="M5" s="29" t="s">
        <v>217</v>
      </c>
      <c r="N5" s="29" t="s">
        <v>217</v>
      </c>
      <c r="O5" s="29" t="s">
        <v>217</v>
      </c>
      <c r="P5" s="29" t="s">
        <v>217</v>
      </c>
    </row>
    <row r="6" spans="1:16">
      <c r="A6" s="27" t="s">
        <v>639</v>
      </c>
      <c r="B6" s="41">
        <f>IF(ISERROR('Eigen openbare verlichting'!B15),0,'Eigen openbare verlichting'!B15)</f>
        <v>1015.888</v>
      </c>
      <c r="C6" s="29" t="s">
        <v>217</v>
      </c>
      <c r="D6" s="29" t="s">
        <v>217</v>
      </c>
      <c r="E6" s="29" t="s">
        <v>217</v>
      </c>
      <c r="F6" s="29" t="s">
        <v>217</v>
      </c>
      <c r="G6" s="29" t="s">
        <v>217</v>
      </c>
      <c r="H6" s="29" t="s">
        <v>217</v>
      </c>
      <c r="I6" s="29" t="s">
        <v>217</v>
      </c>
      <c r="J6" s="29" t="s">
        <v>217</v>
      </c>
      <c r="K6" s="29" t="s">
        <v>217</v>
      </c>
      <c r="L6" s="29" t="s">
        <v>217</v>
      </c>
      <c r="M6" s="29" t="s">
        <v>217</v>
      </c>
      <c r="N6" s="29" t="s">
        <v>217</v>
      </c>
      <c r="O6" s="29" t="s">
        <v>217</v>
      </c>
      <c r="P6" s="29" t="s">
        <v>217</v>
      </c>
    </row>
    <row r="7" spans="1:16">
      <c r="B7" s="30"/>
      <c r="C7" s="30"/>
      <c r="D7" s="30"/>
      <c r="E7" s="30"/>
      <c r="F7" s="30"/>
      <c r="G7" s="30"/>
      <c r="H7" s="30"/>
      <c r="I7" s="30"/>
      <c r="J7" s="30"/>
      <c r="K7" s="30"/>
      <c r="L7" s="30"/>
      <c r="M7" s="30"/>
      <c r="N7" s="30"/>
      <c r="O7" s="30"/>
      <c r="P7" s="30"/>
    </row>
    <row r="8" spans="1:16" s="18" customFormat="1">
      <c r="A8" s="31" t="s">
        <v>564</v>
      </c>
      <c r="B8" s="32">
        <f>(B5)-(B6)</f>
        <v>12.993000000000052</v>
      </c>
      <c r="C8" s="32"/>
      <c r="D8" s="32"/>
      <c r="E8" s="32"/>
      <c r="F8" s="32"/>
      <c r="G8" s="32"/>
      <c r="H8" s="32"/>
      <c r="I8" s="32"/>
      <c r="J8" s="32"/>
      <c r="K8" s="32"/>
      <c r="L8" s="32"/>
      <c r="M8" s="32"/>
      <c r="N8" s="32"/>
      <c r="O8" s="32"/>
      <c r="P8" s="32"/>
    </row>
    <row r="9" spans="1:16">
      <c r="B9" s="30"/>
      <c r="C9" s="30"/>
      <c r="D9" s="30"/>
      <c r="E9" s="30"/>
      <c r="F9" s="30"/>
      <c r="G9" s="30"/>
      <c r="H9" s="30"/>
      <c r="I9" s="30"/>
      <c r="J9" s="30"/>
      <c r="K9" s="30"/>
      <c r="L9" s="30"/>
      <c r="M9" s="30"/>
      <c r="N9" s="30"/>
      <c r="O9" s="30"/>
      <c r="P9" s="30"/>
    </row>
    <row r="10" spans="1:16">
      <c r="A10" s="35" t="s">
        <v>220</v>
      </c>
      <c r="B10" s="36">
        <f ca="1">'EF ele_warmte'!B12</f>
        <v>0.20531165224649006</v>
      </c>
      <c r="C10" s="37"/>
      <c r="D10" s="37"/>
      <c r="E10" s="37"/>
      <c r="F10" s="37"/>
      <c r="G10" s="37"/>
      <c r="H10" s="37"/>
      <c r="I10" s="37"/>
      <c r="J10" s="37"/>
      <c r="K10" s="37"/>
      <c r="L10" s="37"/>
      <c r="M10" s="37"/>
      <c r="N10" s="37"/>
      <c r="O10" s="37"/>
      <c r="P10" s="37"/>
    </row>
    <row r="11" spans="1:16">
      <c r="A11" s="18"/>
      <c r="B11" s="33"/>
      <c r="C11" s="33"/>
      <c r="D11" s="33"/>
      <c r="E11" s="33"/>
      <c r="F11" s="33"/>
      <c r="G11" s="33"/>
      <c r="H11" s="33"/>
      <c r="I11" s="33"/>
      <c r="J11" s="33"/>
      <c r="K11" s="33"/>
      <c r="L11" s="33"/>
      <c r="M11" s="33"/>
      <c r="N11" s="33"/>
      <c r="O11" s="33"/>
      <c r="P11" s="33"/>
    </row>
    <row r="12" spans="1:16">
      <c r="A12" s="31" t="s">
        <v>219</v>
      </c>
      <c r="B12" s="34">
        <f ca="1">B10*B8</f>
        <v>2.6676142976386559</v>
      </c>
      <c r="C12" s="178"/>
      <c r="D12" s="178"/>
      <c r="E12" s="178"/>
      <c r="F12" s="178"/>
      <c r="G12" s="178"/>
      <c r="H12" s="178"/>
      <c r="I12" s="178"/>
      <c r="J12" s="178"/>
      <c r="K12" s="178"/>
      <c r="L12" s="178"/>
      <c r="M12" s="178"/>
      <c r="N12" s="178"/>
      <c r="O12" s="178"/>
      <c r="P12" s="178"/>
    </row>
  </sheetData>
  <mergeCells count="6">
    <mergeCell ref="A1:A3"/>
    <mergeCell ref="B1:P1"/>
    <mergeCell ref="B2:B3"/>
    <mergeCell ref="C2:C3"/>
    <mergeCell ref="D2:K2"/>
    <mergeCell ref="L2:P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977111117893"/>
  </sheetPr>
  <dimension ref="A1:P81"/>
  <sheetViews>
    <sheetView showGridLines="0" zoomScale="80" zoomScaleNormal="80" workbookViewId="0">
      <pane xSplit="1" ySplit="3" topLeftCell="B43" activePane="bottomRight" state="frozen"/>
      <selection activeCell="B35" sqref="B35"/>
      <selection pane="topRight" activeCell="B35" sqref="B35"/>
      <selection pane="bottomLeft" activeCell="B35" sqref="B35"/>
      <selection pane="bottomRight" activeCell="B70" sqref="B70"/>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82" customFormat="1" ht="17.25" thickTop="1" thickBot="1">
      <c r="A1" s="1096" t="s">
        <v>158</v>
      </c>
      <c r="B1" s="1097" t="s">
        <v>201</v>
      </c>
      <c r="C1" s="1098"/>
      <c r="D1" s="1098"/>
      <c r="E1" s="1098"/>
      <c r="F1" s="1098"/>
      <c r="G1" s="1098"/>
      <c r="H1" s="1098"/>
      <c r="I1" s="1098"/>
      <c r="J1" s="1098"/>
      <c r="K1" s="1098"/>
      <c r="L1" s="1098"/>
      <c r="M1" s="1098"/>
      <c r="N1" s="1098"/>
      <c r="O1" s="1098"/>
      <c r="P1" s="1098"/>
    </row>
    <row r="2" spans="1:16" s="382" customFormat="1" ht="15.75" thickTop="1">
      <c r="A2" s="1096"/>
      <c r="B2" s="1099" t="s">
        <v>21</v>
      </c>
      <c r="C2" s="1099" t="s">
        <v>202</v>
      </c>
      <c r="D2" s="1101" t="s">
        <v>203</v>
      </c>
      <c r="E2" s="1102"/>
      <c r="F2" s="1102"/>
      <c r="G2" s="1102"/>
      <c r="H2" s="1102"/>
      <c r="I2" s="1102"/>
      <c r="J2" s="1102"/>
      <c r="K2" s="1103"/>
      <c r="L2" s="1101" t="s">
        <v>204</v>
      </c>
      <c r="M2" s="1102"/>
      <c r="N2" s="1102"/>
      <c r="O2" s="1102"/>
      <c r="P2" s="1103"/>
    </row>
    <row r="3" spans="1:16" s="382" customFormat="1" ht="45">
      <c r="A3" s="1096"/>
      <c r="B3" s="1100"/>
      <c r="C3" s="1100"/>
      <c r="D3" s="434" t="s">
        <v>205</v>
      </c>
      <c r="E3" s="434" t="s">
        <v>206</v>
      </c>
      <c r="F3" s="434" t="s">
        <v>207</v>
      </c>
      <c r="G3" s="434" t="s">
        <v>208</v>
      </c>
      <c r="H3" s="434" t="s">
        <v>123</v>
      </c>
      <c r="I3" s="434" t="s">
        <v>209</v>
      </c>
      <c r="J3" s="434" t="s">
        <v>210</v>
      </c>
      <c r="K3" s="434" t="s">
        <v>211</v>
      </c>
      <c r="L3" s="434" t="s">
        <v>212</v>
      </c>
      <c r="M3" s="434" t="s">
        <v>213</v>
      </c>
      <c r="N3" s="434" t="s">
        <v>214</v>
      </c>
      <c r="O3" s="434" t="s">
        <v>215</v>
      </c>
      <c r="P3" s="434" t="s">
        <v>216</v>
      </c>
    </row>
    <row r="4" spans="1:16" s="26" customFormat="1" ht="15.75">
      <c r="A4" s="24"/>
      <c r="B4" s="25"/>
      <c r="C4" s="25"/>
      <c r="D4" s="25"/>
      <c r="E4" s="25"/>
      <c r="F4" s="25"/>
      <c r="G4" s="25"/>
      <c r="H4" s="25"/>
      <c r="I4" s="25"/>
      <c r="J4" s="25"/>
      <c r="K4" s="25"/>
      <c r="L4" s="25"/>
      <c r="M4" s="25"/>
      <c r="N4" s="25"/>
      <c r="O4" s="25"/>
      <c r="P4" s="25"/>
    </row>
    <row r="5" spans="1:16">
      <c r="A5" s="27" t="s">
        <v>640</v>
      </c>
      <c r="B5" s="41">
        <f>IF(ISERROR(SUM(HH_hh_ele_kWh,HH_rest_kWh)/1000),0,SUM(HH_hh_ele_kWh,HH_rest_kWh)/1000)</f>
        <v>36763.698305203099</v>
      </c>
      <c r="C5" s="28">
        <f>IF(ISERROR('Eigen informatie GS &amp; warmtenet'!B57),0,'Eigen informatie GS &amp; warmtenet'!B57)</f>
        <v>0</v>
      </c>
      <c r="D5" s="41">
        <f>(SUM(HH_hh_gas_kWh,HH_rest_gas_kWh)/1000)*0.902</f>
        <v>126041.54106442082</v>
      </c>
      <c r="E5" s="28">
        <f>B46*B57</f>
        <v>710.59664248632873</v>
      </c>
      <c r="F5" s="28">
        <f>B51*B62</f>
        <v>12965.277392357542</v>
      </c>
      <c r="G5" s="29"/>
      <c r="H5" s="28"/>
      <c r="I5" s="28"/>
      <c r="J5" s="28">
        <f>B50*B61+C50*C61</f>
        <v>0</v>
      </c>
      <c r="K5" s="28"/>
      <c r="L5" s="28"/>
      <c r="M5" s="28"/>
      <c r="N5" s="28">
        <f>B48*B59+C48*C59</f>
        <v>4240.4994311859937</v>
      </c>
      <c r="O5" s="28">
        <f>B69*B70*B71</f>
        <v>85.983333333333334</v>
      </c>
      <c r="P5" s="28">
        <f>B77*B78*B79/1000-B77*B78*B79/1000/B80</f>
        <v>0</v>
      </c>
    </row>
    <row r="6" spans="1:16">
      <c r="A6" s="27" t="s">
        <v>740</v>
      </c>
      <c r="B6" s="959">
        <f>kWh_PV_kleiner_dan_10kW</f>
        <v>687</v>
      </c>
      <c r="C6" s="960"/>
      <c r="D6" s="960"/>
      <c r="E6" s="961"/>
      <c r="F6" s="961"/>
      <c r="G6" s="961"/>
      <c r="H6" s="961"/>
      <c r="I6" s="961"/>
      <c r="J6" s="961"/>
      <c r="K6" s="961"/>
      <c r="L6" s="961"/>
      <c r="M6" s="961"/>
      <c r="N6" s="961"/>
      <c r="O6" s="961"/>
      <c r="P6" s="961"/>
    </row>
    <row r="7" spans="1:16">
      <c r="B7" s="30"/>
      <c r="C7" s="30"/>
      <c r="D7" s="30"/>
      <c r="E7" s="30"/>
      <c r="F7" s="30"/>
      <c r="G7" s="30"/>
      <c r="H7" s="30"/>
      <c r="I7" s="30"/>
      <c r="J7" s="30"/>
      <c r="K7" s="30"/>
      <c r="L7" s="30"/>
      <c r="M7" s="30"/>
      <c r="N7" s="30"/>
      <c r="O7" s="30"/>
      <c r="P7" s="30"/>
    </row>
    <row r="8" spans="1:16" s="18" customFormat="1">
      <c r="A8" s="31" t="s">
        <v>218</v>
      </c>
      <c r="B8" s="32">
        <f>B5+B6</f>
        <v>37450.698305203099</v>
      </c>
      <c r="C8" s="32">
        <f>C5</f>
        <v>0</v>
      </c>
      <c r="D8" s="32">
        <f>D5</f>
        <v>126041.54106442082</v>
      </c>
      <c r="E8" s="32">
        <f>E5</f>
        <v>710.59664248632873</v>
      </c>
      <c r="F8" s="32">
        <f>F5</f>
        <v>12965.277392357542</v>
      </c>
      <c r="G8" s="32"/>
      <c r="H8" s="32"/>
      <c r="I8" s="32"/>
      <c r="J8" s="32">
        <f>J5</f>
        <v>0</v>
      </c>
      <c r="K8" s="32"/>
      <c r="L8" s="32">
        <f>L5</f>
        <v>0</v>
      </c>
      <c r="M8" s="32">
        <f>M5</f>
        <v>0</v>
      </c>
      <c r="N8" s="32">
        <f>N5</f>
        <v>4240.4994311859937</v>
      </c>
      <c r="O8" s="32">
        <f>O5</f>
        <v>85.983333333333334</v>
      </c>
      <c r="P8" s="32">
        <f>P5</f>
        <v>0</v>
      </c>
    </row>
    <row r="9" spans="1:16">
      <c r="B9" s="30"/>
      <c r="C9" s="30"/>
      <c r="D9" s="301"/>
      <c r="E9" s="30"/>
      <c r="F9" s="30"/>
      <c r="G9" s="30"/>
      <c r="H9" s="30"/>
      <c r="I9" s="30"/>
      <c r="J9" s="30"/>
      <c r="K9" s="30"/>
      <c r="L9" s="30"/>
      <c r="M9" s="30"/>
      <c r="N9" s="30"/>
      <c r="O9" s="30"/>
      <c r="P9" s="30"/>
    </row>
    <row r="10" spans="1:16">
      <c r="A10" s="35" t="s">
        <v>220</v>
      </c>
      <c r="B10" s="36">
        <f ca="1">'EF ele_warmte'!B12</f>
        <v>0.20531165224649006</v>
      </c>
      <c r="C10" s="36">
        <f ca="1">'EF ele_warmte'!B22</f>
        <v>0</v>
      </c>
      <c r="D10" s="36">
        <f>EF_CO2_aardgas</f>
        <v>0.20200000000000001</v>
      </c>
      <c r="E10" s="36">
        <f>EF_VLgas_CO2</f>
        <v>0.22700000000000001</v>
      </c>
      <c r="F10" s="36">
        <f>EF_stookolie_CO2</f>
        <v>0.26700000000000002</v>
      </c>
      <c r="G10" s="36">
        <f>EF_diesel_CO2</f>
        <v>0.26700000000000002</v>
      </c>
      <c r="H10" s="36">
        <f>EF_benzine_CO2</f>
        <v>0.249</v>
      </c>
      <c r="I10" s="36">
        <f>EF_bruinkool_CO2</f>
        <v>0.35099999999999998</v>
      </c>
      <c r="J10" s="36">
        <f>EF_steenkool_CO2</f>
        <v>0.35399999999999998</v>
      </c>
      <c r="K10" s="36">
        <f>EF_anderfossiel_CO2</f>
        <v>0.26400000000000001</v>
      </c>
      <c r="L10" s="36">
        <f>'EF brandstof'!J4</f>
        <v>0</v>
      </c>
      <c r="M10" s="36">
        <f>'EF brandstof'!K4</f>
        <v>0</v>
      </c>
      <c r="N10" s="36">
        <f>'EF brandstof'!L4</f>
        <v>0</v>
      </c>
      <c r="O10" s="36">
        <v>0</v>
      </c>
      <c r="P10" s="36">
        <v>0</v>
      </c>
    </row>
    <row r="11" spans="1:16">
      <c r="A11" s="18"/>
      <c r="B11" s="33"/>
      <c r="C11" s="33"/>
      <c r="D11" s="33"/>
      <c r="E11" s="33"/>
      <c r="F11" s="33"/>
      <c r="G11" s="33"/>
      <c r="H11" s="33"/>
      <c r="I11" s="33"/>
      <c r="J11" s="33"/>
      <c r="K11" s="33"/>
      <c r="L11" s="33"/>
      <c r="M11" s="33"/>
      <c r="N11" s="33"/>
      <c r="O11" s="33"/>
      <c r="P11" s="33"/>
    </row>
    <row r="12" spans="1:16">
      <c r="A12" s="31" t="s">
        <v>219</v>
      </c>
      <c r="B12" s="34">
        <f ca="1">B10*B8</f>
        <v>7689.0647468260731</v>
      </c>
      <c r="C12" s="34">
        <f ca="1">C10*C8</f>
        <v>0</v>
      </c>
      <c r="D12" s="34">
        <f>D8*D10</f>
        <v>25460.391295013007</v>
      </c>
      <c r="E12" s="34">
        <f>E10*E8</f>
        <v>161.30543784439664</v>
      </c>
      <c r="F12" s="34">
        <f>F10*F8</f>
        <v>3461.7290637594642</v>
      </c>
      <c r="G12" s="34"/>
      <c r="H12" s="34"/>
      <c r="I12" s="34"/>
      <c r="J12" s="34">
        <f>J10*J8</f>
        <v>0</v>
      </c>
      <c r="K12" s="34"/>
      <c r="L12" s="34">
        <f>L10*L8</f>
        <v>0</v>
      </c>
      <c r="M12" s="34">
        <f>M10*M8</f>
        <v>0</v>
      </c>
      <c r="N12" s="34">
        <f>N10*N8</f>
        <v>0</v>
      </c>
      <c r="O12" s="34">
        <f>O10*O8</f>
        <v>0</v>
      </c>
      <c r="P12" s="34">
        <f>P10*P8</f>
        <v>0</v>
      </c>
    </row>
    <row r="15" spans="1:16">
      <c r="A15" s="211" t="s">
        <v>577</v>
      </c>
      <c r="B15" s="229"/>
      <c r="C15" s="229"/>
      <c r="D15" s="266"/>
    </row>
    <row r="16" spans="1:16">
      <c r="A16" s="3"/>
      <c r="B16" s="56"/>
      <c r="C16" s="56"/>
      <c r="D16" s="192"/>
    </row>
    <row r="17" spans="1:7">
      <c r="A17" s="267" t="s">
        <v>221</v>
      </c>
      <c r="B17" s="228" t="s">
        <v>222</v>
      </c>
      <c r="C17" s="228" t="s">
        <v>231</v>
      </c>
      <c r="D17" s="268" t="s">
        <v>188</v>
      </c>
      <c r="E17" s="26"/>
    </row>
    <row r="18" spans="1:7">
      <c r="A18" s="189" t="s">
        <v>74</v>
      </c>
      <c r="B18" s="48">
        <f>Aantalw2001_aardgas</f>
        <v>7129</v>
      </c>
      <c r="C18" s="184" t="s">
        <v>114</v>
      </c>
      <c r="D18" s="269"/>
      <c r="E18" s="26"/>
    </row>
    <row r="19" spans="1:7">
      <c r="A19" s="189" t="s">
        <v>75</v>
      </c>
      <c r="B19" s="48">
        <f>aantalw2001_ander</f>
        <v>9</v>
      </c>
      <c r="C19" s="184" t="s">
        <v>114</v>
      </c>
      <c r="D19" s="270"/>
      <c r="E19" s="26"/>
    </row>
    <row r="20" spans="1:7">
      <c r="A20" s="189" t="s">
        <v>76</v>
      </c>
      <c r="B20" s="48">
        <f>aantalw2001_propaan</f>
        <v>16</v>
      </c>
      <c r="C20" s="185">
        <f>IF(ISERROR(B20/SUM($B$20,$B$21,$B$22)*100),0,B20/SUM($B$20,$B$21,$B$22)*100)</f>
        <v>2.7257240204429301</v>
      </c>
      <c r="D20" s="270"/>
      <c r="E20" s="26"/>
    </row>
    <row r="21" spans="1:7">
      <c r="A21" s="189" t="s">
        <v>77</v>
      </c>
      <c r="B21" s="48">
        <f>aantalw2001_elektriciteit</f>
        <v>538</v>
      </c>
      <c r="C21" s="185">
        <f>IF(ISERROR(B21/SUM($B$20,$B$21,$B$22)*100),0,B21/SUM($B$20,$B$21,$B$22)*100)</f>
        <v>91.652470187393533</v>
      </c>
      <c r="D21" s="270"/>
      <c r="E21" s="26"/>
    </row>
    <row r="22" spans="1:7">
      <c r="A22" s="189" t="s">
        <v>78</v>
      </c>
      <c r="B22" s="48">
        <f>aantalw2001_hout</f>
        <v>33</v>
      </c>
      <c r="C22" s="185">
        <f>IF(ISERROR(B22/SUM($B$20,$B$21,$B$22)*100),0,B22/SUM($B$20,$B$21,$B$22)*100)</f>
        <v>5.6218057921635438</v>
      </c>
      <c r="D22" s="270"/>
      <c r="E22" s="26"/>
    </row>
    <row r="23" spans="1:7">
      <c r="A23" s="189" t="s">
        <v>79</v>
      </c>
      <c r="B23" s="48">
        <f>aantalw2001_niet_gespec</f>
        <v>143</v>
      </c>
      <c r="C23" s="184" t="s">
        <v>114</v>
      </c>
      <c r="D23" s="269"/>
      <c r="E23" s="26"/>
    </row>
    <row r="24" spans="1:7">
      <c r="A24" s="189" t="s">
        <v>80</v>
      </c>
      <c r="B24" s="48">
        <f>aantalw2001_steenkool</f>
        <v>56</v>
      </c>
      <c r="C24" s="184" t="s">
        <v>114</v>
      </c>
      <c r="D24" s="270"/>
      <c r="E24" s="26"/>
    </row>
    <row r="25" spans="1:7">
      <c r="A25" s="189" t="s">
        <v>81</v>
      </c>
      <c r="B25" s="48">
        <f>aantalw2001_stookolie</f>
        <v>2194</v>
      </c>
      <c r="C25" s="184" t="s">
        <v>114</v>
      </c>
      <c r="D25" s="269"/>
      <c r="E25" s="66"/>
    </row>
    <row r="26" spans="1:7">
      <c r="A26" s="189" t="s">
        <v>82</v>
      </c>
      <c r="B26" s="48">
        <f>aantalw2001_WP</f>
        <v>1</v>
      </c>
      <c r="C26" s="184" t="s">
        <v>114</v>
      </c>
      <c r="D26" s="269"/>
      <c r="E26" s="26"/>
    </row>
    <row r="27" spans="1:7" s="26" customFormat="1">
      <c r="A27" s="189"/>
      <c r="B27" s="40"/>
      <c r="C27" s="47"/>
      <c r="D27" s="269"/>
    </row>
    <row r="28" spans="1:7" s="26" customFormat="1">
      <c r="A28" s="271" t="s">
        <v>224</v>
      </c>
      <c r="B28" s="48">
        <f>aantalHuishoudens2011</f>
        <v>10771</v>
      </c>
      <c r="C28" s="47"/>
      <c r="D28" s="269"/>
    </row>
    <row r="29" spans="1:7" s="26" customFormat="1">
      <c r="A29" s="271" t="s">
        <v>225</v>
      </c>
      <c r="B29" s="48">
        <f>SUM(HH_hh_gas_aantal,HH_rest_gas_aantal)</f>
        <v>8935</v>
      </c>
      <c r="C29" s="47"/>
      <c r="D29" s="269"/>
    </row>
    <row r="30" spans="1:7" s="26" customFormat="1">
      <c r="A30" s="272"/>
      <c r="B30" s="40"/>
      <c r="C30" s="47"/>
      <c r="D30" s="273"/>
    </row>
    <row r="31" spans="1:7">
      <c r="A31" s="190" t="s">
        <v>226</v>
      </c>
      <c r="B31" s="186" t="s">
        <v>222</v>
      </c>
      <c r="C31" s="183" t="s">
        <v>223</v>
      </c>
      <c r="D31" s="192"/>
      <c r="G31" s="26"/>
    </row>
    <row r="32" spans="1:7">
      <c r="A32" s="189" t="s">
        <v>74</v>
      </c>
      <c r="B32" s="48">
        <f>B29</f>
        <v>8935</v>
      </c>
      <c r="C32" s="185">
        <f>IF(ISERROR(B32/SUM($B$32,$B$34,$B$35,$B$36,$B$38,$B$39)*100),0,B32/SUM($B$32,$B$34,$B$35,$B$36,$B$38,$B$39)*100)</f>
        <v>82.954228948101388</v>
      </c>
      <c r="D32" s="274"/>
      <c r="G32" s="26"/>
    </row>
    <row r="33" spans="1:7">
      <c r="A33" s="189" t="s">
        <v>75</v>
      </c>
      <c r="B33" s="45" t="s">
        <v>114</v>
      </c>
      <c r="C33" s="185"/>
      <c r="D33" s="274"/>
      <c r="G33" s="26"/>
    </row>
    <row r="34" spans="1:7">
      <c r="A34" s="189" t="s">
        <v>76</v>
      </c>
      <c r="B34" s="44">
        <f>($B$28-$B$32-$B$39-$B$77-$B$38)*C20/100</f>
        <v>34.545826235093699</v>
      </c>
      <c r="C34" s="185">
        <f>IF(ISERROR(B34/SUM($B$32,$B$34,$B$35,$B$36,$B$38,$B$39)*100),0,B34/SUM($B$32,$B$34,$B$35,$B$36,$B$38,$B$39)*100)</f>
        <v>0.3207299808290196</v>
      </c>
      <c r="D34" s="274"/>
      <c r="G34" s="26"/>
    </row>
    <row r="35" spans="1:7">
      <c r="A35" s="189" t="s">
        <v>77</v>
      </c>
      <c r="B35" s="44">
        <f>($B$28-$B$32-$B$39-$B$77-$B$38)*C21/100</f>
        <v>1161.6034071550257</v>
      </c>
      <c r="C35" s="185">
        <f>IF(ISERROR(B35/SUM($B$32,$B$34,$B$35,$B$36,$B$38,$B$39)*100),0,B35/SUM($B$32,$B$34,$B$35,$B$36,$B$38,$B$39)*100)</f>
        <v>10.784545605375783</v>
      </c>
      <c r="D35" s="274"/>
      <c r="G35" s="26"/>
    </row>
    <row r="36" spans="1:7">
      <c r="A36" s="189" t="s">
        <v>78</v>
      </c>
      <c r="B36" s="44">
        <f>($B$28-$B$32-$B$39-$B$77-$B$38)*C22/100</f>
        <v>71.250766609880756</v>
      </c>
      <c r="C36" s="185">
        <f>IF(ISERROR(B36/SUM($B$32,$B$34,$B$35,$B$36,$B$38,$B$39)*100),0,B36/SUM($B$32,$B$34,$B$35,$B$36,$B$38,$B$39)*100)</f>
        <v>0.66150558545985294</v>
      </c>
      <c r="D36" s="274"/>
      <c r="G36" s="26"/>
    </row>
    <row r="37" spans="1:7">
      <c r="A37" s="189" t="s">
        <v>79</v>
      </c>
      <c r="B37" s="45" t="s">
        <v>114</v>
      </c>
      <c r="C37" s="185"/>
      <c r="D37" s="191"/>
      <c r="G37" s="26"/>
    </row>
    <row r="38" spans="1:7">
      <c r="A38" s="189" t="s">
        <v>80</v>
      </c>
      <c r="B38" s="44">
        <f>IF((B24-(B29-B18)*0.1)&lt;0,0,B24-(B29-B18)*0.1)</f>
        <v>0</v>
      </c>
      <c r="C38" s="185">
        <f>IF(ISERROR(B38/SUM($B$32,$B$34,$B$35,$B$36,$B$38,$B$39)*100),0,B38/SUM($B$32,$B$34,$B$35,$B$36,$B$38,$B$39)*100)</f>
        <v>0</v>
      </c>
      <c r="D38" s="275"/>
      <c r="G38" s="26"/>
    </row>
    <row r="39" spans="1:7">
      <c r="A39" s="189" t="s">
        <v>81</v>
      </c>
      <c r="B39" s="44">
        <f>IF((B25-(B29-B18))&lt;0,0,B25-(B29-B18)*0.9)</f>
        <v>568.59999999999991</v>
      </c>
      <c r="C39" s="185">
        <f>IF(ISERROR(B39/SUM($B$32,$B$34,$B$35,$B$36,$B$38,$B$39)*100),0,B39/SUM($B$32,$B$34,$B$35,$B$36,$B$38,$B$39)*100)</f>
        <v>5.2789898802339605</v>
      </c>
      <c r="D39" s="275"/>
      <c r="G39" s="26"/>
    </row>
    <row r="40" spans="1:7">
      <c r="A40" s="189" t="s">
        <v>82</v>
      </c>
      <c r="B40" s="44" t="s">
        <v>230</v>
      </c>
      <c r="C40" s="185"/>
      <c r="D40" s="274"/>
      <c r="G40" s="26"/>
    </row>
    <row r="41" spans="1:7">
      <c r="A41" s="3"/>
      <c r="B41" s="56"/>
      <c r="C41" s="56"/>
      <c r="D41" s="192"/>
    </row>
    <row r="42" spans="1:7">
      <c r="A42" s="3"/>
      <c r="B42" s="56"/>
      <c r="C42" s="56"/>
      <c r="D42" s="192"/>
    </row>
    <row r="43" spans="1:7">
      <c r="A43" s="190" t="s">
        <v>569</v>
      </c>
      <c r="B43" s="187" t="s">
        <v>566</v>
      </c>
      <c r="C43" s="187" t="s">
        <v>565</v>
      </c>
      <c r="D43" s="192"/>
    </row>
    <row r="44" spans="1:7">
      <c r="A44" s="189" t="s">
        <v>74</v>
      </c>
      <c r="B44" s="44">
        <f t="shared" ref="B44:B52" si="0">B32</f>
        <v>8935</v>
      </c>
      <c r="C44" s="45" t="s">
        <v>114</v>
      </c>
      <c r="D44" s="192"/>
    </row>
    <row r="45" spans="1:7">
      <c r="A45" s="189" t="s">
        <v>75</v>
      </c>
      <c r="B45" s="44" t="str">
        <f t="shared" si="0"/>
        <v>-</v>
      </c>
      <c r="C45" s="45" t="s">
        <v>114</v>
      </c>
      <c r="D45" s="192"/>
    </row>
    <row r="46" spans="1:7">
      <c r="A46" s="189" t="s">
        <v>76</v>
      </c>
      <c r="B46" s="44">
        <f t="shared" si="0"/>
        <v>34.545826235093699</v>
      </c>
      <c r="C46" s="45" t="s">
        <v>114</v>
      </c>
      <c r="D46" s="192"/>
    </row>
    <row r="47" spans="1:7">
      <c r="A47" s="189" t="s">
        <v>77</v>
      </c>
      <c r="B47" s="44">
        <f t="shared" si="0"/>
        <v>1161.6034071550257</v>
      </c>
      <c r="C47" s="45" t="s">
        <v>114</v>
      </c>
      <c r="D47" s="192"/>
    </row>
    <row r="48" spans="1:7">
      <c r="A48" s="189" t="s">
        <v>78</v>
      </c>
      <c r="B48" s="44">
        <f t="shared" si="0"/>
        <v>71.250766609880756</v>
      </c>
      <c r="C48" s="44">
        <f>B48*10</f>
        <v>712.50766609880759</v>
      </c>
      <c r="D48" s="275"/>
    </row>
    <row r="49" spans="1:6">
      <c r="A49" s="189" t="s">
        <v>79</v>
      </c>
      <c r="B49" s="44" t="str">
        <f t="shared" si="0"/>
        <v>-</v>
      </c>
      <c r="C49" s="45" t="s">
        <v>114</v>
      </c>
      <c r="D49" s="275"/>
    </row>
    <row r="50" spans="1:6">
      <c r="A50" s="189" t="s">
        <v>80</v>
      </c>
      <c r="B50" s="44">
        <f t="shared" si="0"/>
        <v>0</v>
      </c>
      <c r="C50" s="44">
        <f>B50*2</f>
        <v>0</v>
      </c>
      <c r="D50" s="275"/>
    </row>
    <row r="51" spans="1:6">
      <c r="A51" s="189" t="s">
        <v>81</v>
      </c>
      <c r="B51" s="44">
        <f t="shared" si="0"/>
        <v>568.59999999999991</v>
      </c>
      <c r="C51" s="45" t="s">
        <v>114</v>
      </c>
      <c r="D51" s="192"/>
    </row>
    <row r="52" spans="1:6">
      <c r="A52" s="189" t="s">
        <v>82</v>
      </c>
      <c r="B52" s="44" t="str">
        <f t="shared" si="0"/>
        <v>zie verder</v>
      </c>
      <c r="C52" s="45" t="s">
        <v>114</v>
      </c>
      <c r="D52" s="192"/>
    </row>
    <row r="53" spans="1:6">
      <c r="A53" s="3"/>
      <c r="B53" s="56"/>
      <c r="C53" s="56"/>
      <c r="D53" s="192"/>
    </row>
    <row r="54" spans="1:6">
      <c r="A54" s="190" t="s">
        <v>572</v>
      </c>
      <c r="B54" s="183" t="s">
        <v>227</v>
      </c>
      <c r="C54" s="183" t="s">
        <v>228</v>
      </c>
      <c r="D54" s="347" t="s">
        <v>614</v>
      </c>
      <c r="E54" s="180"/>
      <c r="F54" s="180"/>
    </row>
    <row r="55" spans="1:6">
      <c r="A55" s="189" t="s">
        <v>74</v>
      </c>
      <c r="B55" s="181">
        <v>16.114730503504411</v>
      </c>
      <c r="C55" s="188" t="s">
        <v>114</v>
      </c>
      <c r="D55" s="191"/>
      <c r="E55" s="181"/>
      <c r="F55" s="181"/>
    </row>
    <row r="56" spans="1:6">
      <c r="A56" s="189" t="s">
        <v>75</v>
      </c>
      <c r="B56" s="188" t="s">
        <v>114</v>
      </c>
      <c r="C56" s="188" t="s">
        <v>114</v>
      </c>
      <c r="D56" s="191"/>
      <c r="E56" s="181"/>
      <c r="F56" s="181"/>
    </row>
    <row r="57" spans="1:6">
      <c r="A57" s="189" t="s">
        <v>76</v>
      </c>
      <c r="B57" s="181">
        <v>20.569681490624259</v>
      </c>
      <c r="C57" s="188" t="s">
        <v>114</v>
      </c>
      <c r="D57" s="191"/>
      <c r="E57" s="181"/>
      <c r="F57" s="181"/>
    </row>
    <row r="58" spans="1:6">
      <c r="A58" s="189" t="s">
        <v>77</v>
      </c>
      <c r="B58" s="181">
        <v>9.7994787666566552</v>
      </c>
      <c r="C58" s="188" t="s">
        <v>114</v>
      </c>
      <c r="D58" s="191"/>
      <c r="E58" s="181"/>
      <c r="F58" s="181"/>
    </row>
    <row r="59" spans="1:6">
      <c r="A59" s="189" t="s">
        <v>78</v>
      </c>
      <c r="B59" s="188">
        <v>8.5796865080849276</v>
      </c>
      <c r="C59" s="188">
        <v>5.0935454632837747</v>
      </c>
      <c r="D59" s="191"/>
      <c r="E59" s="181"/>
      <c r="F59" s="181"/>
    </row>
    <row r="60" spans="1:6">
      <c r="A60" s="189" t="s">
        <v>79</v>
      </c>
      <c r="B60" s="188" t="s">
        <v>114</v>
      </c>
      <c r="C60" s="188" t="s">
        <v>114</v>
      </c>
      <c r="D60" s="191"/>
      <c r="E60" s="181"/>
      <c r="F60" s="181"/>
    </row>
    <row r="61" spans="1:6">
      <c r="A61" s="189" t="s">
        <v>80</v>
      </c>
      <c r="B61" s="181">
        <v>14.343024178768898</v>
      </c>
      <c r="C61" s="188">
        <v>7.1715120893844491</v>
      </c>
      <c r="D61" s="191"/>
      <c r="E61" s="181"/>
      <c r="F61" s="181"/>
    </row>
    <row r="62" spans="1:6">
      <c r="A62" s="189" t="s">
        <v>81</v>
      </c>
      <c r="B62" s="188">
        <v>22.802105860635852</v>
      </c>
      <c r="C62" s="188" t="s">
        <v>114</v>
      </c>
      <c r="D62" s="192"/>
      <c r="E62" s="181"/>
      <c r="F62" s="181"/>
    </row>
    <row r="63" spans="1:6">
      <c r="A63" s="189" t="s">
        <v>82</v>
      </c>
      <c r="B63" s="188" t="s">
        <v>230</v>
      </c>
      <c r="C63" s="188" t="s">
        <v>114</v>
      </c>
      <c r="D63" s="192"/>
      <c r="E63" s="181"/>
      <c r="F63" s="181"/>
    </row>
    <row r="64" spans="1:6">
      <c r="A64" s="193"/>
      <c r="B64" s="276"/>
      <c r="C64" s="276"/>
      <c r="D64" s="194"/>
      <c r="E64" s="181"/>
      <c r="F64" s="181"/>
    </row>
    <row r="65" spans="1:6">
      <c r="E65" s="26"/>
      <c r="F65" s="26"/>
    </row>
    <row r="66" spans="1:6">
      <c r="A66" s="212" t="s">
        <v>570</v>
      </c>
      <c r="B66" s="229"/>
      <c r="C66" s="229"/>
      <c r="D66" s="230"/>
    </row>
    <row r="67" spans="1:6" s="26" customFormat="1">
      <c r="A67" s="190"/>
      <c r="B67" s="43"/>
      <c r="C67" s="43"/>
      <c r="D67" s="231"/>
    </row>
    <row r="68" spans="1:6" s="26" customFormat="1">
      <c r="A68" s="232"/>
      <c r="B68" s="233"/>
      <c r="C68" s="234" t="s">
        <v>417</v>
      </c>
      <c r="D68" s="263" t="s">
        <v>188</v>
      </c>
    </row>
    <row r="69" spans="1:6">
      <c r="A69" s="189" t="s">
        <v>279</v>
      </c>
      <c r="B69" s="366">
        <f>aantalZB_NB_wonen+aantalZB_NB_wonen_met_kantoor+ZB_HH_bestaande_bouw</f>
        <v>55</v>
      </c>
      <c r="C69" s="56"/>
      <c r="D69" s="191"/>
    </row>
    <row r="70" spans="1:6">
      <c r="A70" s="189" t="s">
        <v>567</v>
      </c>
      <c r="B70" s="362">
        <v>4.2</v>
      </c>
      <c r="C70" s="56"/>
      <c r="D70" s="356" t="s">
        <v>605</v>
      </c>
    </row>
    <row r="71" spans="1:6">
      <c r="A71" s="286" t="s">
        <v>568</v>
      </c>
      <c r="B71" s="367">
        <f>1.34/3.6</f>
        <v>0.37222222222222223</v>
      </c>
      <c r="C71" s="56" t="s">
        <v>229</v>
      </c>
      <c r="D71" s="356" t="s">
        <v>605</v>
      </c>
    </row>
    <row r="72" spans="1:6">
      <c r="A72" s="193"/>
      <c r="B72" s="287"/>
      <c r="C72" s="196"/>
      <c r="D72" s="197"/>
    </row>
    <row r="73" spans="1:6">
      <c r="D73" s="182"/>
    </row>
    <row r="74" spans="1:6">
      <c r="A74" s="212" t="s">
        <v>571</v>
      </c>
      <c r="B74" s="229"/>
      <c r="C74" s="229"/>
      <c r="D74" s="230"/>
    </row>
    <row r="75" spans="1:6">
      <c r="A75" s="190"/>
      <c r="B75" s="43"/>
      <c r="C75" s="43"/>
      <c r="D75" s="235"/>
    </row>
    <row r="76" spans="1:6">
      <c r="A76" s="201"/>
      <c r="B76" s="200"/>
      <c r="C76" s="234" t="s">
        <v>417</v>
      </c>
      <c r="D76" s="264" t="s">
        <v>188</v>
      </c>
    </row>
    <row r="77" spans="1:6">
      <c r="A77" s="189" t="s">
        <v>279</v>
      </c>
      <c r="B77" s="366">
        <f>aantalWP_NB_wonen+aantalWP_NB_wonen_met_kantoor+WP_HH_bestaande_bouw</f>
        <v>0</v>
      </c>
      <c r="C77" s="43"/>
      <c r="D77" s="195"/>
    </row>
    <row r="78" spans="1:6">
      <c r="A78" s="189" t="s">
        <v>535</v>
      </c>
      <c r="B78" s="362">
        <v>13</v>
      </c>
      <c r="C78" s="43" t="s">
        <v>276</v>
      </c>
      <c r="D78" s="356" t="s">
        <v>605</v>
      </c>
    </row>
    <row r="79" spans="1:6">
      <c r="A79" s="189" t="s">
        <v>536</v>
      </c>
      <c r="B79" s="362">
        <v>2000</v>
      </c>
      <c r="C79" s="43" t="s">
        <v>278</v>
      </c>
      <c r="D79" s="356" t="s">
        <v>605</v>
      </c>
    </row>
    <row r="80" spans="1:6">
      <c r="A80" s="189" t="s">
        <v>472</v>
      </c>
      <c r="B80" s="362">
        <v>3.75</v>
      </c>
      <c r="C80" s="56"/>
      <c r="D80" s="356" t="s">
        <v>605</v>
      </c>
    </row>
    <row r="81" spans="1:4">
      <c r="A81" s="7"/>
      <c r="B81" s="196"/>
      <c r="C81" s="196"/>
      <c r="D81" s="194"/>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977111117893"/>
  </sheetPr>
  <dimension ref="A1:R55"/>
  <sheetViews>
    <sheetView showGridLines="0" topLeftCell="A25" zoomScale="80" zoomScaleNormal="80" workbookViewId="0">
      <selection activeCell="B46" sqref="B46"/>
    </sheetView>
  </sheetViews>
  <sheetFormatPr defaultRowHeight="15"/>
  <cols>
    <col min="1" max="1" width="67.5703125" style="26" customWidth="1"/>
    <col min="2" max="2" width="31.85546875" style="26" customWidth="1"/>
    <col min="3" max="3" width="34" style="26" customWidth="1"/>
    <col min="4" max="4" width="64.85546875" style="26" customWidth="1"/>
    <col min="5" max="5" width="25.5703125" style="26" customWidth="1"/>
    <col min="6" max="6" width="28.140625" style="26" bestFit="1" customWidth="1"/>
    <col min="7" max="7" width="17.42578125" style="26" customWidth="1"/>
    <col min="8" max="8" width="15.28515625" style="26" customWidth="1"/>
    <col min="9" max="9" width="17" style="26" customWidth="1"/>
    <col min="10" max="10" width="16" style="26" customWidth="1"/>
    <col min="11" max="11" width="20" style="26" customWidth="1"/>
    <col min="12" max="12" width="19.5703125" style="26" customWidth="1"/>
    <col min="13" max="13" width="19" style="26" customWidth="1"/>
    <col min="14" max="14" width="20.28515625" style="26" customWidth="1"/>
    <col min="15" max="15" width="17.140625" style="26" customWidth="1"/>
    <col min="16" max="16" width="21.85546875" style="26" customWidth="1"/>
    <col min="17" max="16384" width="9.140625" style="26"/>
  </cols>
  <sheetData>
    <row r="1" spans="1:18" s="363" customFormat="1" ht="17.25" thickTop="1" thickBot="1">
      <c r="A1" s="1096" t="s">
        <v>159</v>
      </c>
      <c r="B1" s="1097" t="s">
        <v>201</v>
      </c>
      <c r="C1" s="1098"/>
      <c r="D1" s="1098"/>
      <c r="E1" s="1098"/>
      <c r="F1" s="1098"/>
      <c r="G1" s="1098"/>
      <c r="H1" s="1098"/>
      <c r="I1" s="1098"/>
      <c r="J1" s="1098"/>
      <c r="K1" s="1098"/>
      <c r="L1" s="1098"/>
      <c r="M1" s="1098"/>
      <c r="N1" s="1098"/>
      <c r="O1" s="1098"/>
      <c r="P1" s="1098"/>
    </row>
    <row r="2" spans="1:18" s="363" customFormat="1" ht="15.75" thickTop="1">
      <c r="A2" s="1096"/>
      <c r="B2" s="1099" t="s">
        <v>21</v>
      </c>
      <c r="C2" s="1099" t="s">
        <v>202</v>
      </c>
      <c r="D2" s="1101" t="s">
        <v>203</v>
      </c>
      <c r="E2" s="1102"/>
      <c r="F2" s="1102"/>
      <c r="G2" s="1102"/>
      <c r="H2" s="1102"/>
      <c r="I2" s="1102"/>
      <c r="J2" s="1102"/>
      <c r="K2" s="1103"/>
      <c r="L2" s="1101" t="s">
        <v>204</v>
      </c>
      <c r="M2" s="1102"/>
      <c r="N2" s="1102"/>
      <c r="O2" s="1102"/>
      <c r="P2" s="1103"/>
    </row>
    <row r="3" spans="1:18" s="363" customFormat="1" ht="45">
      <c r="A3" s="1096"/>
      <c r="B3" s="1100"/>
      <c r="C3" s="1100"/>
      <c r="D3" s="434" t="s">
        <v>205</v>
      </c>
      <c r="E3" s="434" t="s">
        <v>206</v>
      </c>
      <c r="F3" s="434" t="s">
        <v>207</v>
      </c>
      <c r="G3" s="434" t="s">
        <v>208</v>
      </c>
      <c r="H3" s="434" t="s">
        <v>123</v>
      </c>
      <c r="I3" s="434" t="s">
        <v>209</v>
      </c>
      <c r="J3" s="434" t="s">
        <v>210</v>
      </c>
      <c r="K3" s="434" t="s">
        <v>211</v>
      </c>
      <c r="L3" s="434" t="s">
        <v>212</v>
      </c>
      <c r="M3" s="434" t="s">
        <v>213</v>
      </c>
      <c r="N3" s="434" t="s">
        <v>214</v>
      </c>
      <c r="O3" s="434" t="s">
        <v>215</v>
      </c>
      <c r="P3" s="434" t="s">
        <v>216</v>
      </c>
    </row>
    <row r="4" spans="1:18" ht="15.75">
      <c r="A4" s="24"/>
      <c r="B4" s="25"/>
      <c r="C4" s="25"/>
      <c r="D4" s="25"/>
      <c r="E4" s="25"/>
      <c r="F4" s="292"/>
      <c r="G4" s="25"/>
      <c r="H4" s="25"/>
      <c r="I4" s="25"/>
      <c r="J4" s="25"/>
      <c r="K4" s="25"/>
      <c r="L4" s="25"/>
      <c r="M4" s="25"/>
      <c r="N4" s="25"/>
      <c r="O4" s="25"/>
      <c r="P4" s="25"/>
      <c r="R4" s="14"/>
    </row>
    <row r="5" spans="1:18">
      <c r="A5" s="27" t="s">
        <v>272</v>
      </c>
      <c r="B5" s="41">
        <f>SUM(B6:B12)</f>
        <v>29561.744442457017</v>
      </c>
      <c r="C5" s="28">
        <f>IF(ISERROR('Eigen informatie GS &amp; warmtenet'!B58),0,'Eigen informatie GS &amp; warmtenet'!B58)</f>
        <v>0</v>
      </c>
      <c r="D5" s="41">
        <f>SUM(D6:D12)</f>
        <v>43387.214666211505</v>
      </c>
      <c r="E5" s="28">
        <f>SUM(E6:E12)</f>
        <v>541.09072511852162</v>
      </c>
      <c r="F5" s="28">
        <f>SUM(F6:F12)</f>
        <v>5817.1417037667443</v>
      </c>
      <c r="G5" s="29"/>
      <c r="H5" s="28"/>
      <c r="I5" s="28"/>
      <c r="J5" s="28">
        <f>SUM(J6:J12)</f>
        <v>0</v>
      </c>
      <c r="K5" s="28"/>
      <c r="L5" s="28"/>
      <c r="M5" s="28"/>
      <c r="N5" s="28">
        <f>SUM(N6:N12)</f>
        <v>515.58947484055921</v>
      </c>
      <c r="O5" s="28">
        <f>B38*B39*B40</f>
        <v>1.5633333333333335</v>
      </c>
      <c r="P5" s="28">
        <f>B46*B47*B48/1000-B46*B47*B48/1000/B49</f>
        <v>0</v>
      </c>
      <c r="R5" s="43"/>
    </row>
    <row r="6" spans="1:18">
      <c r="A6" s="43" t="s">
        <v>54</v>
      </c>
      <c r="B6" s="48">
        <f>B26</f>
        <v>6883.9403087403798</v>
      </c>
      <c r="C6" s="44"/>
      <c r="D6" s="48">
        <f>IF(ISERROR(TER_kantoor_gas_kWh/1000),0,TER_kantoor_gas_kWh/1000)*0.902</f>
        <v>12763.94565740401</v>
      </c>
      <c r="E6" s="44">
        <f>$C$26*'E Balans VL '!I12/100/3.6*1000000</f>
        <v>240.96499048294001</v>
      </c>
      <c r="F6" s="44">
        <f>$C$26*('E Balans VL '!L12+'E Balans VL '!N12)/100/3.6*1000000</f>
        <v>1043.7531475551948</v>
      </c>
      <c r="G6" s="45"/>
      <c r="H6" s="44"/>
      <c r="I6" s="44"/>
      <c r="J6" s="44">
        <f>$C$26*('E Balans VL '!D12+'E Balans VL '!E12)/100/3.6*1000000</f>
        <v>0</v>
      </c>
      <c r="K6" s="44"/>
      <c r="L6" s="44"/>
      <c r="M6" s="44"/>
      <c r="N6" s="44">
        <f>$C$26*'E Balans VL '!Y12/100/3.6*1000000</f>
        <v>53.210703972544138</v>
      </c>
      <c r="O6" s="44"/>
      <c r="P6" s="44"/>
      <c r="R6" s="43"/>
    </row>
    <row r="7" spans="1:18">
      <c r="A7" s="43" t="s">
        <v>53</v>
      </c>
      <c r="B7" s="48">
        <f t="shared" ref="B7:B12" si="0">B27</f>
        <v>1700.1092131011301</v>
      </c>
      <c r="C7" s="44"/>
      <c r="D7" s="48">
        <f>IF(ISERROR(TER_horeca_gas_kWh/1000),0,TER_horeca_gas_kWh/1000)*0.902</f>
        <v>2908.7003210100993</v>
      </c>
      <c r="E7" s="44">
        <f>$C$27*'E Balans VL '!I9/100/3.6*1000000</f>
        <v>95.908765565957026</v>
      </c>
      <c r="F7" s="44">
        <f>$C$27*('E Balans VL '!L9+'E Balans VL '!N9)/100/3.6*1000000</f>
        <v>296.16843344740198</v>
      </c>
      <c r="G7" s="45"/>
      <c r="H7" s="44"/>
      <c r="I7" s="44"/>
      <c r="J7" s="44">
        <f>$C$27*('E Balans VL '!D9+'E Balans VL '!E9)/100/3.6*1000000</f>
        <v>0</v>
      </c>
      <c r="K7" s="44"/>
      <c r="L7" s="44"/>
      <c r="M7" s="44"/>
      <c r="N7" s="44">
        <f>$C$27*'E Balans VL '!Y9/100/3.6*1000000</f>
        <v>0</v>
      </c>
      <c r="O7" s="44"/>
      <c r="P7" s="44"/>
      <c r="R7" s="43"/>
    </row>
    <row r="8" spans="1:18">
      <c r="A8" s="14" t="s">
        <v>52</v>
      </c>
      <c r="B8" s="48">
        <f t="shared" si="0"/>
        <v>7057.8566744276604</v>
      </c>
      <c r="C8" s="44"/>
      <c r="D8" s="48">
        <f>IF(ISERROR(TER_handel_gas_kWh/1000),0,TER_handel_gas_kWh/1000)*0.902</f>
        <v>5453.1882601526249</v>
      </c>
      <c r="E8" s="44">
        <f>$C$28*'E Balans VL '!I13/100/3.6*1000000</f>
        <v>36.234319098673389</v>
      </c>
      <c r="F8" s="44">
        <f>$C$28*('E Balans VL '!L13+'E Balans VL '!N13)/100/3.6*1000000</f>
        <v>1088.2124441161325</v>
      </c>
      <c r="G8" s="45"/>
      <c r="H8" s="44"/>
      <c r="I8" s="44"/>
      <c r="J8" s="44">
        <f>$C$28*('E Balans VL '!D13+'E Balans VL '!E13)/100/3.6*1000000</f>
        <v>0</v>
      </c>
      <c r="K8" s="44"/>
      <c r="L8" s="44"/>
      <c r="M8" s="44"/>
      <c r="N8" s="44">
        <f>$C$28*'E Balans VL '!Y13/100/3.6*1000000</f>
        <v>3.3010457193670093</v>
      </c>
      <c r="O8" s="44"/>
      <c r="P8" s="44"/>
      <c r="R8" s="43"/>
    </row>
    <row r="9" spans="1:18">
      <c r="A9" s="43" t="s">
        <v>51</v>
      </c>
      <c r="B9" s="48">
        <f t="shared" si="0"/>
        <v>4926.8896415034005</v>
      </c>
      <c r="C9" s="44"/>
      <c r="D9" s="48">
        <f>IF(ISERROR(TER_gezond_gas_kWh/1000),0,TER_gezond_gas_kWh/1000)*0.902</f>
        <v>14356.617368167994</v>
      </c>
      <c r="E9" s="44">
        <f>$C$29*'E Balans VL '!I10/100/3.6*1000000</f>
        <v>2.0421606683526812</v>
      </c>
      <c r="F9" s="44">
        <f>$C$29*('E Balans VL '!L10+'E Balans VL '!N10)/100/3.6*1000000</f>
        <v>1213.422257679176</v>
      </c>
      <c r="G9" s="45"/>
      <c r="H9" s="44"/>
      <c r="I9" s="44"/>
      <c r="J9" s="44">
        <f>$C$29*('E Balans VL '!D10+'E Balans VL '!E10)/100/3.6*1000000</f>
        <v>0</v>
      </c>
      <c r="K9" s="44"/>
      <c r="L9" s="44"/>
      <c r="M9" s="44"/>
      <c r="N9" s="44">
        <f>$C$29*'E Balans VL '!Y10/100/3.6*1000000</f>
        <v>42.580521170893917</v>
      </c>
      <c r="O9" s="44"/>
      <c r="P9" s="44"/>
      <c r="R9" s="43"/>
    </row>
    <row r="10" spans="1:18">
      <c r="A10" s="43" t="s">
        <v>50</v>
      </c>
      <c r="B10" s="48">
        <f t="shared" si="0"/>
        <v>880.28710123289397</v>
      </c>
      <c r="C10" s="44"/>
      <c r="D10" s="48">
        <f>IF(ISERROR(TER_ander_gas_kWh/1000),0,TER_ander_gas_kWh/1000)*0.902</f>
        <v>2185.5736147263287</v>
      </c>
      <c r="E10" s="44">
        <f>$C$30*'E Balans VL '!I14/100/3.6*1000000</f>
        <v>5.366251888173041</v>
      </c>
      <c r="F10" s="44">
        <f>$C$30*('E Balans VL '!L14+'E Balans VL '!N14)/100/3.6*1000000</f>
        <v>233.37616910226458</v>
      </c>
      <c r="G10" s="45"/>
      <c r="H10" s="44"/>
      <c r="I10" s="44"/>
      <c r="J10" s="44">
        <f>$C$30*('E Balans VL '!D14+'E Balans VL '!E14)/100/3.6*1000000</f>
        <v>0</v>
      </c>
      <c r="K10" s="44"/>
      <c r="L10" s="44"/>
      <c r="M10" s="44"/>
      <c r="N10" s="44">
        <f>$C$30*'E Balans VL '!Y14/100/3.6*1000000</f>
        <v>202.88715522999473</v>
      </c>
      <c r="O10" s="44"/>
      <c r="P10" s="44"/>
      <c r="R10" s="43"/>
    </row>
    <row r="11" spans="1:18">
      <c r="A11" s="43" t="s">
        <v>55</v>
      </c>
      <c r="B11" s="48">
        <f t="shared" si="0"/>
        <v>648.70429257999308</v>
      </c>
      <c r="C11" s="44"/>
      <c r="D11" s="48">
        <f>IF(ISERROR(TER_onderwijs_gas_kWh/1000),0,TER_onderwijs_gas_kWh/1000)*0.902</f>
        <v>2076.3707831648408</v>
      </c>
      <c r="E11" s="44">
        <f>$C$31*'E Balans VL '!I11/100/3.6*1000000</f>
        <v>0.49434644933531557</v>
      </c>
      <c r="F11" s="44">
        <f>$C$31*('E Balans VL '!L11+'E Balans VL '!N11)/100/3.6*1000000</f>
        <v>469.43797658529434</v>
      </c>
      <c r="G11" s="45"/>
      <c r="H11" s="44"/>
      <c r="I11" s="44"/>
      <c r="J11" s="44">
        <f>$C$31*('E Balans VL '!D11+'E Balans VL '!E11)/100/3.6*1000000</f>
        <v>0</v>
      </c>
      <c r="K11" s="44"/>
      <c r="L11" s="44"/>
      <c r="M11" s="44"/>
      <c r="N11" s="44">
        <f>$C$31*'E Balans VL '!Y11/100/3.6*1000000</f>
        <v>1.911886587734078</v>
      </c>
      <c r="O11" s="44"/>
      <c r="P11" s="44"/>
      <c r="R11" s="43"/>
    </row>
    <row r="12" spans="1:18">
      <c r="A12" s="43" t="s">
        <v>273</v>
      </c>
      <c r="B12" s="48">
        <f t="shared" si="0"/>
        <v>7463.9572108715593</v>
      </c>
      <c r="C12" s="44"/>
      <c r="D12" s="48">
        <f>IF(ISERROR(TER_rest_gas_kWh/1000),0,TER_rest_gas_kWh/1000)*0.902</f>
        <v>3642.8186615856016</v>
      </c>
      <c r="E12" s="44">
        <f>$C$32*'E Balans VL '!I8/100/3.6*1000000</f>
        <v>160.07989096509024</v>
      </c>
      <c r="F12" s="44">
        <f>$C$32*('E Balans VL '!L8+'E Balans VL '!N8)/100/3.6*1000000</f>
        <v>1472.7712752812797</v>
      </c>
      <c r="G12" s="45"/>
      <c r="H12" s="44"/>
      <c r="I12" s="44"/>
      <c r="J12" s="44">
        <f>$C$32*('E Balans VL '!D8+'E Balans VL '!E8)/100/3.6*1000000</f>
        <v>0</v>
      </c>
      <c r="K12" s="44"/>
      <c r="L12" s="44"/>
      <c r="M12" s="44"/>
      <c r="N12" s="44">
        <f>$C$32*'E Balans VL '!Y8/100/3.6*1000000</f>
        <v>211.6981621600253</v>
      </c>
      <c r="O12" s="44"/>
      <c r="P12" s="44"/>
      <c r="R12" s="43"/>
    </row>
    <row r="13" spans="1:18">
      <c r="A13" s="27" t="s">
        <v>578</v>
      </c>
      <c r="B13" s="288">
        <f ca="1">'lokale energieproductie'!N90+'lokale energieproductie'!N59</f>
        <v>0</v>
      </c>
      <c r="C13" s="288">
        <f ca="1">'lokale energieproductie'!O90+'lokale energieproductie'!O59</f>
        <v>0</v>
      </c>
      <c r="D13" s="357">
        <f ca="1">'lokale energieproductie'!P59+'lokale energieproductie'!P90</f>
        <v>0</v>
      </c>
      <c r="E13" s="289"/>
      <c r="F13" s="357">
        <f ca="1">'lokale energieproductie'!S59+'lokale energieproductie'!S90</f>
        <v>0</v>
      </c>
      <c r="G13" s="290"/>
      <c r="H13" s="289"/>
      <c r="I13" s="289"/>
      <c r="J13" s="289"/>
      <c r="K13" s="289"/>
      <c r="L13" s="357">
        <f ca="1">'lokale energieproductie'!U59+'lokale energieproductie'!T59+'lokale energieproductie'!U90+'lokale energieproductie'!T90</f>
        <v>0</v>
      </c>
      <c r="M13" s="289"/>
      <c r="N13" s="357">
        <f ca="1">'lokale energieproductie'!Q59+'lokale energieproductie'!R59+'lokale energieproductie'!V59+'lokale energieproductie'!Q90+'lokale energieproductie'!R90+'lokale energieproductie'!V90</f>
        <v>0</v>
      </c>
      <c r="O13" s="289"/>
      <c r="P13" s="289"/>
      <c r="R13" s="43"/>
    </row>
    <row r="14" spans="1:18">
      <c r="A14" s="27" t="s">
        <v>596</v>
      </c>
      <c r="B14" s="288">
        <f>'Eigen gebouwen'!B15</f>
        <v>1737.6089999999999</v>
      </c>
      <c r="C14" s="288">
        <f>'Eigen gebouwen'!C15</f>
        <v>0</v>
      </c>
      <c r="D14" s="288">
        <f>'Eigen gebouwen'!D15</f>
        <v>6528.5060000000003</v>
      </c>
      <c r="E14" s="288">
        <f>'Eigen gebouwen'!E15</f>
        <v>0</v>
      </c>
      <c r="F14" s="288">
        <f>'Eigen gebouwen'!F15</f>
        <v>302.08058675036102</v>
      </c>
      <c r="G14" s="288">
        <f>'Eigen gebouwen'!G15</f>
        <v>0</v>
      </c>
      <c r="H14" s="288">
        <f>'Eigen gebouwen'!H15</f>
        <v>0</v>
      </c>
      <c r="I14" s="288">
        <f>'Eigen gebouwen'!I15</f>
        <v>0</v>
      </c>
      <c r="J14" s="288">
        <f>'Eigen gebouwen'!J15</f>
        <v>0</v>
      </c>
      <c r="K14" s="288">
        <f>'Eigen gebouwen'!K15</f>
        <v>0</v>
      </c>
      <c r="L14" s="288">
        <f>'Eigen gebouwen'!L15</f>
        <v>0</v>
      </c>
      <c r="M14" s="288">
        <f>'Eigen gebouwen'!M15</f>
        <v>0</v>
      </c>
      <c r="N14" s="288">
        <f>'Eigen gebouwen'!N15</f>
        <v>0</v>
      </c>
      <c r="O14" s="288">
        <f>'Eigen gebouwen'!O15</f>
        <v>0</v>
      </c>
      <c r="P14" s="288">
        <f>'Eigen gebouwen'!P15</f>
        <v>0</v>
      </c>
      <c r="R14" s="43"/>
    </row>
    <row r="15" spans="1:18">
      <c r="A15" s="43"/>
      <c r="B15" s="40"/>
      <c r="C15" s="40"/>
      <c r="D15" s="291"/>
      <c r="E15" s="40"/>
      <c r="F15" s="40"/>
      <c r="G15" s="39"/>
      <c r="H15" s="40"/>
      <c r="I15" s="40"/>
      <c r="J15" s="40"/>
      <c r="K15" s="40"/>
      <c r="L15" s="40"/>
      <c r="M15" s="40"/>
      <c r="N15" s="40"/>
      <c r="O15" s="40"/>
      <c r="P15" s="40"/>
      <c r="R15" s="43"/>
    </row>
    <row r="16" spans="1:18">
      <c r="A16" s="31" t="s">
        <v>274</v>
      </c>
      <c r="B16" s="32">
        <f ca="1">B5+B13-B14</f>
        <v>27824.135442457016</v>
      </c>
      <c r="C16" s="32">
        <f ca="1">C5+C13-C14</f>
        <v>0</v>
      </c>
      <c r="D16" s="32">
        <f ca="1">IF((D5-D13-D14)&lt;0,0,(D5-D13-D14))</f>
        <v>36858.708666211503</v>
      </c>
      <c r="E16" s="32">
        <f>IF((E5-E13-E14)&lt;0,0,(E5-E13-E14))</f>
        <v>541.09072511852162</v>
      </c>
      <c r="F16" s="32">
        <f t="shared" ref="F16:N16" ca="1" si="1">IF((F5-F13-F14)&lt;0,0,(F5-F13-F14))</f>
        <v>5515.0611170163829</v>
      </c>
      <c r="G16" s="32">
        <f t="shared" si="1"/>
        <v>0</v>
      </c>
      <c r="H16" s="32">
        <f t="shared" si="1"/>
        <v>0</v>
      </c>
      <c r="I16" s="32">
        <f t="shared" si="1"/>
        <v>0</v>
      </c>
      <c r="J16" s="32">
        <f t="shared" si="1"/>
        <v>0</v>
      </c>
      <c r="K16" s="32">
        <f t="shared" si="1"/>
        <v>0</v>
      </c>
      <c r="L16" s="32">
        <f t="shared" ca="1" si="1"/>
        <v>0</v>
      </c>
      <c r="M16" s="32">
        <f t="shared" si="1"/>
        <v>0</v>
      </c>
      <c r="N16" s="32">
        <f t="shared" ca="1" si="1"/>
        <v>515.58947484055921</v>
      </c>
      <c r="O16" s="32">
        <f t="shared" ref="O16:P16" si="2">O5-O13-O14</f>
        <v>1.5633333333333335</v>
      </c>
      <c r="P16" s="32">
        <f t="shared" si="2"/>
        <v>0</v>
      </c>
      <c r="R16" s="43"/>
    </row>
    <row r="17" spans="1:18">
      <c r="A17"/>
      <c r="B17" s="30"/>
      <c r="C17" s="30"/>
      <c r="D17" s="30"/>
      <c r="E17" s="30"/>
      <c r="F17" s="30"/>
      <c r="G17" s="30"/>
      <c r="H17" s="30"/>
      <c r="I17" s="30"/>
      <c r="J17" s="30"/>
      <c r="K17" s="30"/>
      <c r="L17" s="30"/>
      <c r="M17" s="30"/>
      <c r="N17" s="30"/>
      <c r="O17" s="30"/>
      <c r="P17" s="30"/>
      <c r="R17" s="43"/>
    </row>
    <row r="18" spans="1:18">
      <c r="A18" s="35" t="s">
        <v>220</v>
      </c>
      <c r="B18" s="36">
        <f ca="1">'EF ele_warmte'!B12</f>
        <v>0.20531165224649006</v>
      </c>
      <c r="C18" s="36">
        <f ca="1">'EF ele_warmte'!B22</f>
        <v>0</v>
      </c>
      <c r="D18" s="36">
        <f>EF_CO2_aardgas</f>
        <v>0.20200000000000001</v>
      </c>
      <c r="E18" s="36">
        <f>EF_VLgas_CO2</f>
        <v>0.22700000000000001</v>
      </c>
      <c r="F18" s="36">
        <f>EF_stookolie_CO2</f>
        <v>0.26700000000000002</v>
      </c>
      <c r="G18" s="36">
        <f>EF_diesel_CO2</f>
        <v>0.26700000000000002</v>
      </c>
      <c r="H18" s="36">
        <f>EF_benzine_CO2</f>
        <v>0.249</v>
      </c>
      <c r="I18" s="36">
        <f>EF_bruinkool_CO2</f>
        <v>0.35099999999999998</v>
      </c>
      <c r="J18" s="36">
        <f>EF_steenkool_CO2</f>
        <v>0.35399999999999998</v>
      </c>
      <c r="K18" s="36">
        <f>EF_anderfossiel_CO2</f>
        <v>0.26400000000000001</v>
      </c>
      <c r="L18" s="36">
        <f>'EF brandstof'!J4</f>
        <v>0</v>
      </c>
      <c r="M18" s="36">
        <f>'EF brandstof'!K4</f>
        <v>0</v>
      </c>
      <c r="N18" s="36">
        <f>'EF brandstof'!L4</f>
        <v>0</v>
      </c>
      <c r="O18" s="36">
        <v>0</v>
      </c>
      <c r="P18" s="36">
        <v>0</v>
      </c>
    </row>
    <row r="19" spans="1:18">
      <c r="A19"/>
      <c r="B19" s="33"/>
      <c r="C19" s="33"/>
      <c r="D19" s="33"/>
      <c r="E19" s="33"/>
      <c r="F19" s="33"/>
      <c r="G19" s="33"/>
      <c r="H19" s="33"/>
      <c r="I19" s="33"/>
      <c r="J19" s="33"/>
      <c r="K19" s="33"/>
      <c r="L19" s="33"/>
      <c r="M19" s="33"/>
      <c r="N19" s="33"/>
      <c r="O19" s="33"/>
      <c r="P19" s="33"/>
    </row>
    <row r="20" spans="1:18">
      <c r="A20" s="31" t="s">
        <v>219</v>
      </c>
      <c r="B20" s="34">
        <f ca="1">B16*B18</f>
        <v>5712.6192200209734</v>
      </c>
      <c r="C20" s="34">
        <f t="shared" ref="C20:P20" ca="1" si="3">C16*C18</f>
        <v>0</v>
      </c>
      <c r="D20" s="34">
        <f t="shared" ca="1" si="3"/>
        <v>7445.4591505747239</v>
      </c>
      <c r="E20" s="34">
        <f t="shared" si="3"/>
        <v>122.82759460190441</v>
      </c>
      <c r="F20" s="34">
        <f t="shared" ca="1" si="3"/>
        <v>1472.5213182433743</v>
      </c>
      <c r="G20" s="34">
        <f t="shared" si="3"/>
        <v>0</v>
      </c>
      <c r="H20" s="34">
        <f t="shared" si="3"/>
        <v>0</v>
      </c>
      <c r="I20" s="34">
        <f t="shared" si="3"/>
        <v>0</v>
      </c>
      <c r="J20" s="34">
        <f t="shared" si="3"/>
        <v>0</v>
      </c>
      <c r="K20" s="34">
        <f t="shared" si="3"/>
        <v>0</v>
      </c>
      <c r="L20" s="34">
        <f t="shared" ca="1" si="3"/>
        <v>0</v>
      </c>
      <c r="M20" s="34">
        <f t="shared" si="3"/>
        <v>0</v>
      </c>
      <c r="N20" s="34">
        <f t="shared" ca="1" si="3"/>
        <v>0</v>
      </c>
      <c r="O20" s="34">
        <f t="shared" si="3"/>
        <v>0</v>
      </c>
      <c r="P20" s="34">
        <f t="shared" si="3"/>
        <v>0</v>
      </c>
    </row>
    <row r="21" spans="1:18">
      <c r="A21" s="55"/>
      <c r="B21" s="40"/>
      <c r="C21" s="40"/>
      <c r="D21" s="40"/>
      <c r="E21" s="40"/>
      <c r="F21" s="40"/>
      <c r="G21" s="40"/>
      <c r="H21" s="40"/>
      <c r="I21" s="40"/>
      <c r="J21" s="40"/>
      <c r="K21" s="40"/>
      <c r="L21" s="40"/>
      <c r="M21" s="40"/>
      <c r="N21" s="40"/>
      <c r="O21" s="40"/>
      <c r="P21" s="40"/>
    </row>
    <row r="23" spans="1:18">
      <c r="A23" s="211" t="s">
        <v>577</v>
      </c>
      <c r="B23" s="229"/>
      <c r="C23" s="229"/>
      <c r="D23" s="266"/>
    </row>
    <row r="24" spans="1:18">
      <c r="A24" s="277"/>
      <c r="B24" s="43"/>
      <c r="C24" s="43"/>
      <c r="D24" s="278"/>
    </row>
    <row r="25" spans="1:18">
      <c r="A25" s="279"/>
      <c r="B25" s="265" t="s">
        <v>280</v>
      </c>
      <c r="C25" s="265" t="s">
        <v>281</v>
      </c>
      <c r="D25" s="280" t="s">
        <v>188</v>
      </c>
    </row>
    <row r="26" spans="1:18">
      <c r="A26" s="272" t="s">
        <v>54</v>
      </c>
      <c r="B26" s="44">
        <f>IF(ISERROR(TER_kantoor_ele_kWh/1000),0,TER_kantoor_ele_kWh/1000)</f>
        <v>6883.9403087403798</v>
      </c>
      <c r="C26" s="50">
        <f>IF(ISERROR(B26*3.6/1000000/'E Balans VL '!Z12*100),0,B26*3.6/1000000/'E Balans VL '!Z12*100)</f>
        <v>0.14486110764176086</v>
      </c>
      <c r="D26" s="278" t="s">
        <v>641</v>
      </c>
      <c r="F26" s="14"/>
    </row>
    <row r="27" spans="1:18">
      <c r="A27" s="272" t="s">
        <v>53</v>
      </c>
      <c r="B27" s="44">
        <f>IF(ISERROR(TER_horeca_ele_kWh/1000),0,TER_horeca_ele_kWh/1000)</f>
        <v>1700.1092131011301</v>
      </c>
      <c r="C27" s="50">
        <f>IF(ISERROR(B27*3.6/1000000/'E Balans VL '!Z9*100),0,B27*3.6/1000000/'E Balans VL '!Z9*100)</f>
        <v>0.14394346981062434</v>
      </c>
      <c r="D27" s="278" t="s">
        <v>641</v>
      </c>
      <c r="F27" s="14"/>
    </row>
    <row r="28" spans="1:18">
      <c r="A28" s="189" t="s">
        <v>52</v>
      </c>
      <c r="B28" s="44">
        <f>IF(ISERROR(TER_handel_ele_kWh/1000),0,TER_handel_ele_kWh/1000)</f>
        <v>7057.8566744276604</v>
      </c>
      <c r="C28" s="50">
        <f>IF(ISERROR(B28*3.6/1000000/'E Balans VL '!Z13*100),0,B28*3.6/1000000/'E Balans VL '!Z13*100)</f>
        <v>0.19539578607784408</v>
      </c>
      <c r="D28" s="278" t="s">
        <v>641</v>
      </c>
      <c r="F28" s="14"/>
    </row>
    <row r="29" spans="1:18">
      <c r="A29" s="272" t="s">
        <v>51</v>
      </c>
      <c r="B29" s="44">
        <f>IF(ISERROR(TER_gezond_ele_kWh/1000),0,TER_gezond_ele_kWh/1000)</f>
        <v>4926.8896415034005</v>
      </c>
      <c r="C29" s="50">
        <f>IF(ISERROR(B29*3.6/1000000/'E Balans VL '!Z10*100),0,B29*3.6/1000000/'E Balans VL '!Z10*100)</f>
        <v>0.64044103245552586</v>
      </c>
      <c r="D29" s="278" t="s">
        <v>641</v>
      </c>
      <c r="F29" s="14"/>
    </row>
    <row r="30" spans="1:18">
      <c r="A30" s="272" t="s">
        <v>50</v>
      </c>
      <c r="B30" s="44">
        <f>IF(ISERROR(TER_ander_ele_kWh/1000),0,TER_ander_ele_kWh/1000)</f>
        <v>880.28710123289397</v>
      </c>
      <c r="C30" s="50">
        <f>IF(ISERROR(B30*3.6/1000000/'E Balans VL '!Z14*100),0,B30*3.6/1000000/'E Balans VL '!Z14*100)</f>
        <v>6.8230323194960779E-2</v>
      </c>
      <c r="D30" s="278" t="s">
        <v>641</v>
      </c>
      <c r="F30" s="14"/>
    </row>
    <row r="31" spans="1:18">
      <c r="A31" s="272" t="s">
        <v>55</v>
      </c>
      <c r="B31" s="44">
        <f>IF(ISERROR(TER_onderwijs_ele_kWh/1000),0,TER_onderwijs_ele_kWh/1000)</f>
        <v>648.70429257999308</v>
      </c>
      <c r="C31" s="50">
        <f>IF(ISERROR(B31*3.6/1000000/'E Balans VL '!Z11*100),0,B31*3.6/1000000/'E Balans VL '!Z11*100)</f>
        <v>0.12410818485777853</v>
      </c>
      <c r="D31" s="278" t="s">
        <v>641</v>
      </c>
    </row>
    <row r="32" spans="1:18">
      <c r="A32" s="272" t="s">
        <v>273</v>
      </c>
      <c r="B32" s="44">
        <f>IF(ISERROR(TER_rest_ele_kWh/1000),0,TER_rest_ele_kWh/1000)</f>
        <v>7463.9572108715593</v>
      </c>
      <c r="C32" s="50">
        <f>IF(ISERROR(B32*3.6/1000000/'E Balans VL '!Z8*100),0,B32*3.6/1000000/'E Balans VL '!Z8*100)</f>
        <v>6.1546058892541625E-2</v>
      </c>
      <c r="D32" s="278" t="s">
        <v>641</v>
      </c>
    </row>
    <row r="33" spans="1:4">
      <c r="A33" s="281"/>
      <c r="B33" s="198"/>
      <c r="C33" s="198"/>
      <c r="D33" s="282"/>
    </row>
    <row r="34" spans="1:4">
      <c r="A34" s="43"/>
      <c r="B34" s="43"/>
      <c r="C34" s="43"/>
    </row>
    <row r="35" spans="1:4">
      <c r="A35" s="211" t="s">
        <v>570</v>
      </c>
      <c r="B35" s="229"/>
      <c r="C35" s="229"/>
      <c r="D35" s="266"/>
    </row>
    <row r="36" spans="1:4">
      <c r="A36" s="277"/>
      <c r="B36" s="43"/>
      <c r="C36" s="43"/>
      <c r="D36" s="273"/>
    </row>
    <row r="37" spans="1:4">
      <c r="A37" s="283"/>
      <c r="B37" s="284"/>
      <c r="C37" s="265" t="s">
        <v>417</v>
      </c>
      <c r="D37" s="285" t="s">
        <v>188</v>
      </c>
    </row>
    <row r="38" spans="1:4">
      <c r="A38" s="189" t="s">
        <v>279</v>
      </c>
      <c r="B38" s="366">
        <f>aantalZB_NB_ander+aantalZB_NB_ander_met_kantoor+aantalZB_NB_kantoor+aantalZB_NB_school+ZB_NHH_bestaande_bouw</f>
        <v>1</v>
      </c>
      <c r="C38" s="56"/>
      <c r="D38" s="273"/>
    </row>
    <row r="39" spans="1:4">
      <c r="A39" s="189" t="s">
        <v>567</v>
      </c>
      <c r="B39" s="362">
        <v>4.2</v>
      </c>
      <c r="C39" s="56"/>
      <c r="D39" s="356" t="s">
        <v>605</v>
      </c>
    </row>
    <row r="40" spans="1:4">
      <c r="A40" s="14" t="s">
        <v>568</v>
      </c>
      <c r="B40" s="367">
        <f>1.34/3.6</f>
        <v>0.37222222222222223</v>
      </c>
      <c r="C40" s="56" t="s">
        <v>229</v>
      </c>
      <c r="D40" s="356" t="s">
        <v>605</v>
      </c>
    </row>
    <row r="41" spans="1:4">
      <c r="A41" s="281"/>
      <c r="B41" s="198"/>
      <c r="C41" s="198"/>
      <c r="D41" s="282"/>
    </row>
    <row r="43" spans="1:4">
      <c r="A43" s="212" t="s">
        <v>571</v>
      </c>
      <c r="B43" s="229"/>
      <c r="C43" s="229"/>
      <c r="D43" s="266"/>
    </row>
    <row r="44" spans="1:4">
      <c r="A44" s="271"/>
      <c r="B44" s="43"/>
      <c r="C44" s="43"/>
      <c r="D44" s="273"/>
    </row>
    <row r="45" spans="1:4">
      <c r="A45" s="283"/>
      <c r="B45" s="284"/>
      <c r="C45" s="265" t="s">
        <v>417</v>
      </c>
      <c r="D45" s="285" t="s">
        <v>188</v>
      </c>
    </row>
    <row r="46" spans="1:4">
      <c r="A46" s="189" t="s">
        <v>279</v>
      </c>
      <c r="B46" s="642">
        <f>aantalWP_NB_ander+antalWP_NB_ander_met_kantoor+aantalWP_NB_kantoor+aantalWP_NB_school+WP_NHH_bestaande_bouw</f>
        <v>0</v>
      </c>
      <c r="C46" s="43"/>
      <c r="D46" s="273"/>
    </row>
    <row r="47" spans="1:4">
      <c r="A47" s="189" t="s">
        <v>535</v>
      </c>
      <c r="B47" s="643">
        <v>13</v>
      </c>
      <c r="C47" s="43" t="s">
        <v>276</v>
      </c>
      <c r="D47" s="356" t="s">
        <v>605</v>
      </c>
    </row>
    <row r="48" spans="1:4">
      <c r="A48" s="189" t="s">
        <v>536</v>
      </c>
      <c r="B48" s="643">
        <v>2000</v>
      </c>
      <c r="C48" s="43" t="s">
        <v>278</v>
      </c>
      <c r="D48" s="356" t="s">
        <v>605</v>
      </c>
    </row>
    <row r="49" spans="1:4">
      <c r="A49" s="189" t="s">
        <v>472</v>
      </c>
      <c r="B49" s="643">
        <v>3.75</v>
      </c>
      <c r="C49" s="43"/>
      <c r="D49" s="356" t="s">
        <v>605</v>
      </c>
    </row>
    <row r="50" spans="1:4">
      <c r="A50" s="193"/>
      <c r="B50" s="198"/>
      <c r="C50" s="198"/>
      <c r="D50" s="282"/>
    </row>
    <row r="51" spans="1:4">
      <c r="A51" s="14"/>
      <c r="B51" s="43"/>
      <c r="C51" s="43"/>
    </row>
    <row r="52" spans="1:4">
      <c r="A52" s="43"/>
      <c r="B52" s="43"/>
      <c r="C52" s="43"/>
    </row>
    <row r="53" spans="1:4">
      <c r="A53" s="43"/>
      <c r="B53" s="43"/>
      <c r="C53" s="43"/>
    </row>
    <row r="54" spans="1:4">
      <c r="A54" s="43"/>
      <c r="B54" s="43"/>
      <c r="C54" s="43"/>
    </row>
    <row r="55" spans="1:4">
      <c r="A55" s="43"/>
      <c r="B55" s="43"/>
      <c r="C55" s="43"/>
    </row>
  </sheetData>
  <mergeCells count="6">
    <mergeCell ref="A1:A3"/>
    <mergeCell ref="B1:P1"/>
    <mergeCell ref="B2:B3"/>
    <mergeCell ref="C2:C3"/>
    <mergeCell ref="D2:K2"/>
    <mergeCell ref="L2:P2"/>
  </mergeCells>
  <dataValidations count="1">
    <dataValidation type="list" allowBlank="1" showInputMessage="1" showErrorMessage="1" sqref="B2:D4">
      <formula1>#REF!</formula1>
    </dataValidation>
  </dataValidations>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977111117893"/>
  </sheetPr>
  <dimension ref="A1:R55"/>
  <sheetViews>
    <sheetView showGridLines="0" zoomScale="80" zoomScaleNormal="80" workbookViewId="0">
      <selection activeCell="B51" sqref="B51"/>
    </sheetView>
  </sheetViews>
  <sheetFormatPr defaultRowHeight="15"/>
  <cols>
    <col min="1" max="1" width="67.5703125" style="26" customWidth="1"/>
    <col min="2" max="2" width="22.5703125" style="26" customWidth="1"/>
    <col min="3" max="3" width="39.5703125" style="26" customWidth="1"/>
    <col min="4" max="4" width="65.7109375" style="26" customWidth="1"/>
    <col min="5" max="5" width="25.5703125" style="26" customWidth="1"/>
    <col min="6" max="6" width="22.85546875" style="26" customWidth="1"/>
    <col min="7" max="7" width="17.42578125" style="26" customWidth="1"/>
    <col min="8" max="8" width="15.28515625" style="26" customWidth="1"/>
    <col min="9" max="9" width="17" style="26" customWidth="1"/>
    <col min="10" max="10" width="16" style="26" customWidth="1"/>
    <col min="11" max="11" width="20" style="26" customWidth="1"/>
    <col min="12" max="12" width="19.5703125" style="26" customWidth="1"/>
    <col min="13" max="13" width="19" style="26" customWidth="1"/>
    <col min="14" max="14" width="20.28515625" style="26" customWidth="1"/>
    <col min="15" max="15" width="17.140625" style="26" customWidth="1"/>
    <col min="16" max="16" width="21.85546875" style="26" customWidth="1"/>
    <col min="17" max="16384" width="9.140625" style="26"/>
  </cols>
  <sheetData>
    <row r="1" spans="1:18" s="363" customFormat="1" ht="17.25" thickTop="1" thickBot="1">
      <c r="A1" s="1096" t="s">
        <v>166</v>
      </c>
      <c r="B1" s="1097" t="s">
        <v>201</v>
      </c>
      <c r="C1" s="1098"/>
      <c r="D1" s="1098"/>
      <c r="E1" s="1098"/>
      <c r="F1" s="1098"/>
      <c r="G1" s="1098"/>
      <c r="H1" s="1098"/>
      <c r="I1" s="1098"/>
      <c r="J1" s="1098"/>
      <c r="K1" s="1098"/>
      <c r="L1" s="1098"/>
      <c r="M1" s="1098"/>
      <c r="N1" s="1098"/>
      <c r="O1" s="1098"/>
      <c r="P1" s="1098"/>
      <c r="R1" s="934"/>
    </row>
    <row r="2" spans="1:18" s="363" customFormat="1" ht="15.75" thickTop="1">
      <c r="A2" s="1096"/>
      <c r="B2" s="1099" t="s">
        <v>21</v>
      </c>
      <c r="C2" s="1099" t="s">
        <v>202</v>
      </c>
      <c r="D2" s="1101" t="s">
        <v>203</v>
      </c>
      <c r="E2" s="1102"/>
      <c r="F2" s="1102"/>
      <c r="G2" s="1102"/>
      <c r="H2" s="1102"/>
      <c r="I2" s="1102"/>
      <c r="J2" s="1102"/>
      <c r="K2" s="1103"/>
      <c r="L2" s="1101" t="s">
        <v>204</v>
      </c>
      <c r="M2" s="1102"/>
      <c r="N2" s="1102"/>
      <c r="O2" s="1102"/>
      <c r="P2" s="1103"/>
      <c r="R2" s="934"/>
    </row>
    <row r="3" spans="1:18" s="363" customFormat="1" ht="45">
      <c r="A3" s="1096"/>
      <c r="B3" s="1100"/>
      <c r="C3" s="1100"/>
      <c r="D3" s="434" t="s">
        <v>205</v>
      </c>
      <c r="E3" s="434" t="s">
        <v>206</v>
      </c>
      <c r="F3" s="434" t="s">
        <v>207</v>
      </c>
      <c r="G3" s="434" t="s">
        <v>208</v>
      </c>
      <c r="H3" s="434" t="s">
        <v>123</v>
      </c>
      <c r="I3" s="434" t="s">
        <v>209</v>
      </c>
      <c r="J3" s="434" t="s">
        <v>210</v>
      </c>
      <c r="K3" s="434" t="s">
        <v>211</v>
      </c>
      <c r="L3" s="434" t="s">
        <v>212</v>
      </c>
      <c r="M3" s="434" t="s">
        <v>213</v>
      </c>
      <c r="N3" s="434" t="s">
        <v>214</v>
      </c>
      <c r="O3" s="434" t="s">
        <v>215</v>
      </c>
      <c r="P3" s="434" t="s">
        <v>216</v>
      </c>
      <c r="R3" s="934"/>
    </row>
    <row r="4" spans="1:18" ht="15.75">
      <c r="A4" s="24"/>
      <c r="B4" s="25"/>
      <c r="C4" s="25"/>
      <c r="D4" s="25"/>
      <c r="E4" s="25"/>
      <c r="F4" s="25"/>
      <c r="G4" s="25"/>
      <c r="H4" s="25"/>
      <c r="I4" s="25"/>
      <c r="J4" s="25"/>
      <c r="K4" s="25"/>
      <c r="L4" s="25"/>
      <c r="M4" s="25"/>
      <c r="N4" s="25"/>
      <c r="O4" s="25"/>
      <c r="P4" s="25"/>
      <c r="R4" s="14"/>
    </row>
    <row r="5" spans="1:18">
      <c r="A5" s="27" t="s">
        <v>282</v>
      </c>
      <c r="B5" s="41">
        <f>SUM(B6:B15)</f>
        <v>2087.9345772822685</v>
      </c>
      <c r="C5" s="28">
        <f>IF(ISERROR('Eigen informatie GS &amp; warmtenet'!B59),0,'Eigen informatie GS &amp; warmtenet'!B59)</f>
        <v>0</v>
      </c>
      <c r="D5" s="41">
        <f>SUM(D6:D15)</f>
        <v>322056.8081434943</v>
      </c>
      <c r="E5" s="28">
        <f>SUM(E6:E15)</f>
        <v>24.339969835937236</v>
      </c>
      <c r="F5" s="28">
        <f>SUM(F6:F15)</f>
        <v>858.79223362133735</v>
      </c>
      <c r="G5" s="29"/>
      <c r="H5" s="28"/>
      <c r="I5" s="28"/>
      <c r="J5" s="28">
        <f>SUM(J6:J15)</f>
        <v>6.0109829516180202</v>
      </c>
      <c r="K5" s="28"/>
      <c r="L5" s="28"/>
      <c r="M5" s="28"/>
      <c r="N5" s="28">
        <f>SUM(N6:N15)</f>
        <v>80.420311207402676</v>
      </c>
      <c r="O5" s="28">
        <f>B43*B44*B45</f>
        <v>0</v>
      </c>
      <c r="P5" s="28">
        <f>B51*B52*B53/1000-B51*B52*B53/1000/B54</f>
        <v>0</v>
      </c>
      <c r="R5" s="43"/>
    </row>
    <row r="6" spans="1:18">
      <c r="A6" s="14" t="s">
        <v>35</v>
      </c>
      <c r="B6" s="48">
        <f>IF( ISERROR(IND_ijzer_ele_kWh/1000),0,IND_ijzer_ele_kWh/1000)</f>
        <v>0</v>
      </c>
      <c r="C6" s="44"/>
      <c r="D6" s="48">
        <f>IF( ISERROR(IND_ijzer_gas_kWh/1000),0,IND_ijzer_gas_kWh/1000)*0.902</f>
        <v>0</v>
      </c>
      <c r="E6" s="44"/>
      <c r="F6" s="44"/>
      <c r="G6" s="45"/>
      <c r="H6" s="44"/>
      <c r="I6" s="44"/>
      <c r="J6" s="51"/>
      <c r="K6" s="44"/>
      <c r="L6" s="44"/>
      <c r="M6" s="44"/>
      <c r="N6" s="44"/>
      <c r="O6" s="44"/>
      <c r="P6" s="44"/>
      <c r="R6" s="43"/>
    </row>
    <row r="7" spans="1:18">
      <c r="A7" s="14" t="s">
        <v>38</v>
      </c>
      <c r="B7" s="48">
        <f t="shared" ref="B7:B15" si="0">B29</f>
        <v>0</v>
      </c>
      <c r="C7" s="44"/>
      <c r="D7" s="48">
        <f>IF( ISERROR(IND_nonf_gas_kWhh/1000),0,IND_nonf_gas_kWh/1000)*0.902</f>
        <v>0</v>
      </c>
      <c r="E7" s="44">
        <f>C29*'E Balans VL '!I17/100/3.6*1000000</f>
        <v>0</v>
      </c>
      <c r="F7" s="44">
        <f>C29*'E Balans VL '!L17/100/3.6*1000000+C29*'E Balans VL '!N17/100/3.6*1000000</f>
        <v>0</v>
      </c>
      <c r="G7" s="45"/>
      <c r="H7" s="44"/>
      <c r="I7" s="44"/>
      <c r="J7" s="51">
        <f>C29*'E Balans VL '!D17/100/3.6*1000000+C29*'E Balans VL '!E17/100/3.6*1000000</f>
        <v>0</v>
      </c>
      <c r="K7" s="44"/>
      <c r="L7" s="44"/>
      <c r="M7" s="44"/>
      <c r="N7" s="44">
        <f>C29*'E Balans VL '!Y17/100/3.6*1000000</f>
        <v>0</v>
      </c>
      <c r="O7" s="44"/>
      <c r="P7" s="44"/>
      <c r="R7" s="43"/>
    </row>
    <row r="8" spans="1:18">
      <c r="A8" s="14" t="s">
        <v>36</v>
      </c>
      <c r="B8" s="48">
        <f t="shared" si="0"/>
        <v>26.590173854962398</v>
      </c>
      <c r="C8" s="44"/>
      <c r="D8" s="48">
        <f>IF( ISERROR(IND_metaal_Gas_kWH/1000),0,IND_metaal_Gas_kWH/1000)*0.902</f>
        <v>0</v>
      </c>
      <c r="E8" s="44">
        <f>C30*'E Balans VL '!I18/100/3.6*1000000</f>
        <v>0.18684328482308177</v>
      </c>
      <c r="F8" s="44">
        <f>C30*'E Balans VL '!L18/100/3.6*1000000+C30*'E Balans VL '!N18/100/3.6*1000000</f>
        <v>2.9194455214455051</v>
      </c>
      <c r="G8" s="45"/>
      <c r="H8" s="44"/>
      <c r="I8" s="44"/>
      <c r="J8" s="51">
        <f>C30*'E Balans VL '!D18/100/3.6*1000000+C30*'E Balans VL '!E18/100/3.6*1000000</f>
        <v>0.54861259886982816</v>
      </c>
      <c r="K8" s="44"/>
      <c r="L8" s="44"/>
      <c r="M8" s="44"/>
      <c r="N8" s="44">
        <f>C30*'E Balans VL '!Y18/100/3.6*1000000</f>
        <v>9.9661886630665997E-2</v>
      </c>
      <c r="O8" s="44"/>
      <c r="P8" s="44"/>
      <c r="R8" s="43"/>
    </row>
    <row r="9" spans="1:18">
      <c r="A9" s="14" t="s">
        <v>33</v>
      </c>
      <c r="B9" s="48">
        <f t="shared" si="0"/>
        <v>854.49409915327305</v>
      </c>
      <c r="C9" s="44"/>
      <c r="D9" s="48">
        <f>IF( ISERROR(IND_andere_gas_kWh/1000),0,IND_andere_gas_kWh/1000)*0.902</f>
        <v>1125.4741048840322</v>
      </c>
      <c r="E9" s="44">
        <f>C31*'E Balans VL '!I19/100/3.6*1000000</f>
        <v>14.352275183972788</v>
      </c>
      <c r="F9" s="44">
        <f>C31*'E Balans VL '!L19/100/3.6*1000000+C31*'E Balans VL '!N19/100/3.6*1000000</f>
        <v>667.99481836808889</v>
      </c>
      <c r="G9" s="45"/>
      <c r="H9" s="44"/>
      <c r="I9" s="44"/>
      <c r="J9" s="51">
        <f>C31*'E Balans VL '!D19/100/3.6*1000000+C31*'E Balans VL '!E19/100/3.6*1000000</f>
        <v>7.7067824795305495E-2</v>
      </c>
      <c r="K9" s="44"/>
      <c r="L9" s="44"/>
      <c r="M9" s="44"/>
      <c r="N9" s="44">
        <f>C31*'E Balans VL '!Y19/100/3.6*1000000</f>
        <v>63.331721898162257</v>
      </c>
      <c r="O9" s="44"/>
      <c r="P9" s="44"/>
      <c r="R9" s="43"/>
    </row>
    <row r="10" spans="1:18">
      <c r="A10" s="14" t="s">
        <v>41</v>
      </c>
      <c r="B10" s="48">
        <f t="shared" si="0"/>
        <v>716.80840153338102</v>
      </c>
      <c r="C10" s="44"/>
      <c r="D10" s="48">
        <f>IF( ISERROR(IND_voed_gas_kWh/1000),0,IND_voed_gas_kWh/1000)*0.902</f>
        <v>587.55276864567372</v>
      </c>
      <c r="E10" s="44">
        <f>C32*'E Balans VL '!I20/100/3.6*1000000</f>
        <v>6.5398619858736335</v>
      </c>
      <c r="F10" s="44">
        <f>C32*'E Balans VL '!L20/100/3.6*1000000+C32*'E Balans VL '!N20/100/3.6*1000000</f>
        <v>115.64361562204365</v>
      </c>
      <c r="G10" s="45"/>
      <c r="H10" s="44"/>
      <c r="I10" s="44"/>
      <c r="J10" s="51">
        <f>C32*'E Balans VL '!D20/100/3.6*1000000+C32*'E Balans VL '!E20/100/3.6*1000000</f>
        <v>2.9522869598510733</v>
      </c>
      <c r="K10" s="44"/>
      <c r="L10" s="44"/>
      <c r="M10" s="44"/>
      <c r="N10" s="44">
        <f>C32*'E Balans VL '!Y20/100/3.6*1000000</f>
        <v>10.486341695145272</v>
      </c>
      <c r="O10" s="44"/>
      <c r="P10" s="44"/>
      <c r="R10" s="43"/>
    </row>
    <row r="11" spans="1:18">
      <c r="A11" s="14" t="s">
        <v>40</v>
      </c>
      <c r="B11" s="48">
        <f t="shared" si="0"/>
        <v>0</v>
      </c>
      <c r="C11" s="44"/>
      <c r="D11" s="48">
        <f>IF( ISERROR(IND_textiel_gas_kWh/1000),0,IND_textiel_gas_kWh/1000)*0.902</f>
        <v>0</v>
      </c>
      <c r="E11" s="44">
        <f>C33*'E Balans VL '!I21/100/3.6*1000000</f>
        <v>0</v>
      </c>
      <c r="F11" s="44">
        <f>C33*'E Balans VL '!L21/100/3.6*1000000+C33*'E Balans VL '!N21/100/3.6*1000000</f>
        <v>0</v>
      </c>
      <c r="G11" s="45"/>
      <c r="H11" s="44"/>
      <c r="I11" s="44"/>
      <c r="J11" s="51">
        <f>C33*'E Balans VL '!D21/100/3.6*1000000+C33*'E Balans VL '!E21/100/3.6*1000000</f>
        <v>0</v>
      </c>
      <c r="K11" s="44"/>
      <c r="L11" s="44"/>
      <c r="M11" s="44"/>
      <c r="N11" s="44">
        <f>C33*'E Balans VL '!Y21/100/3.6*1000000</f>
        <v>0</v>
      </c>
      <c r="O11" s="44"/>
      <c r="P11" s="44"/>
      <c r="R11" s="43"/>
    </row>
    <row r="12" spans="1:18">
      <c r="A12" s="14" t="s">
        <v>37</v>
      </c>
      <c r="B12" s="48">
        <f t="shared" si="0"/>
        <v>0</v>
      </c>
      <c r="C12" s="44"/>
      <c r="D12" s="48">
        <f>IF( ISERROR(IND_min_gas_kWh/1000),0,IND_min_gas_kWh/1000)*0.902</f>
        <v>0</v>
      </c>
      <c r="E12" s="44">
        <f>C34*'E Balans VL '!I22/100/3.6*1000000</f>
        <v>0</v>
      </c>
      <c r="F12" s="44">
        <f>C34*'E Balans VL '!L22/100/3.6*1000000+C34*'E Balans VL '!N22/100/3.6*1000000</f>
        <v>0</v>
      </c>
      <c r="G12" s="45"/>
      <c r="H12" s="44"/>
      <c r="I12" s="44"/>
      <c r="J12" s="51">
        <f>C34*'E Balans VL '!D22/100/3.6*1000000+C34*'E Balans VL '!E22/100/3.6*1000000</f>
        <v>0</v>
      </c>
      <c r="K12" s="44"/>
      <c r="L12" s="44"/>
      <c r="M12" s="44"/>
      <c r="N12" s="44">
        <f>C34*'E Balans VL '!Y22/100/3.6*1000000</f>
        <v>0</v>
      </c>
      <c r="O12" s="44"/>
      <c r="P12" s="44"/>
      <c r="R12" s="43"/>
    </row>
    <row r="13" spans="1:18">
      <c r="A13" s="14" t="s">
        <v>39</v>
      </c>
      <c r="B13" s="48">
        <f t="shared" si="0"/>
        <v>128.70397067339101</v>
      </c>
      <c r="C13" s="44"/>
      <c r="D13" s="48">
        <f>IF( ISERROR(IND_papier_gas_kWh/1000),0,IND_papier_gas_kWh/1000)*0.902</f>
        <v>197.03476967054567</v>
      </c>
      <c r="E13" s="44">
        <f>C35*'E Balans VL '!I23/100/3.6*1000000</f>
        <v>0</v>
      </c>
      <c r="F13" s="44">
        <f>C35*'E Balans VL '!L23/100/3.6*1000000+C35*'E Balans VL '!N23/100/3.6*1000000</f>
        <v>0</v>
      </c>
      <c r="G13" s="45"/>
      <c r="H13" s="44"/>
      <c r="I13" s="44"/>
      <c r="J13" s="51">
        <f>C35*'E Balans VL '!D23/100/3.6*1000000+C35*'E Balans VL '!E23/100/3.6*1000000</f>
        <v>0</v>
      </c>
      <c r="K13" s="44"/>
      <c r="L13" s="44"/>
      <c r="M13" s="44"/>
      <c r="N13" s="44">
        <f>C35*'E Balans VL '!Y23/100/3.6*1000000</f>
        <v>0</v>
      </c>
      <c r="O13" s="44"/>
      <c r="P13" s="44"/>
      <c r="R13" s="43"/>
    </row>
    <row r="14" spans="1:18">
      <c r="A14" s="14" t="s">
        <v>34</v>
      </c>
      <c r="B14" s="48">
        <f t="shared" si="0"/>
        <v>0</v>
      </c>
      <c r="C14" s="44"/>
      <c r="D14" s="48">
        <f>IF( ISERROR(IND_chemie_gas_kWh/1000),0,IND_chemie_gas_kWh/1000)*0.902</f>
        <v>319533.73707413662</v>
      </c>
      <c r="E14" s="44">
        <f>C36*'E Balans VL '!I24/100/3.6*1000000</f>
        <v>0</v>
      </c>
      <c r="F14" s="44">
        <f>C36*'E Balans VL '!L24/100/3.6*1000000+C36*'E Balans VL '!N24/100/3.6*1000000</f>
        <v>0</v>
      </c>
      <c r="G14" s="45"/>
      <c r="H14" s="44"/>
      <c r="I14" s="44"/>
      <c r="J14" s="51">
        <f>C36*'E Balans VL '!D24/100/3.6*1000000+C36*'E Balans VL '!E24/100/3.6*1000000</f>
        <v>0</v>
      </c>
      <c r="K14" s="44"/>
      <c r="L14" s="44"/>
      <c r="M14" s="44"/>
      <c r="N14" s="44">
        <f>C36*'E Balans VL '!Y24/100/3.6*1000000</f>
        <v>0</v>
      </c>
      <c r="O14" s="44"/>
      <c r="P14" s="44"/>
      <c r="R14" s="43"/>
    </row>
    <row r="15" spans="1:18">
      <c r="A15" s="14" t="s">
        <v>283</v>
      </c>
      <c r="B15" s="48">
        <f t="shared" si="0"/>
        <v>361.33793206726102</v>
      </c>
      <c r="C15" s="44"/>
      <c r="D15" s="48">
        <f>IF( ISERROR(IND_rest_gas_kWh/1000),0,IND_rest_gas_kWh/1000)*0.902</f>
        <v>613.00942615746044</v>
      </c>
      <c r="E15" s="44">
        <f>C37*'E Balans VL '!I15/100/3.6*1000000</f>
        <v>3.2609893812677302</v>
      </c>
      <c r="F15" s="44">
        <f>C37*'E Balans VL '!L15/100/3.6*1000000+C37*'E Balans VL '!N15/100/3.6*1000000</f>
        <v>72.234354109759337</v>
      </c>
      <c r="G15" s="45"/>
      <c r="H15" s="44"/>
      <c r="I15" s="44"/>
      <c r="J15" s="51">
        <f>C37*'E Balans VL '!D15/100/3.6*1000000+C37*'E Balans VL '!E15/100/3.6*1000000</f>
        <v>2.4330155681018133</v>
      </c>
      <c r="K15" s="44"/>
      <c r="L15" s="44"/>
      <c r="M15" s="44"/>
      <c r="N15" s="44">
        <f>C37*'E Balans VL '!Y15/100/3.6*1000000</f>
        <v>6.5025857274644734</v>
      </c>
      <c r="O15" s="44"/>
      <c r="P15" s="44"/>
      <c r="R15" s="43"/>
    </row>
    <row r="16" spans="1:18">
      <c r="A16" s="27" t="s">
        <v>578</v>
      </c>
      <c r="B16" s="288">
        <f>'lokale energieproductie'!N89+'lokale energieproductie'!N58</f>
        <v>0</v>
      </c>
      <c r="C16" s="288">
        <f>'lokale energieproductie'!O89+'lokale energieproductie'!O58</f>
        <v>0</v>
      </c>
      <c r="D16" s="357">
        <f>'lokale energieproductie'!P58+'lokale energieproductie'!P89</f>
        <v>0</v>
      </c>
      <c r="E16" s="289"/>
      <c r="F16" s="357">
        <f>'lokale energieproductie'!S58+'lokale energieproductie'!S89</f>
        <v>0</v>
      </c>
      <c r="G16" s="290"/>
      <c r="H16" s="289"/>
      <c r="I16" s="289"/>
      <c r="J16" s="289"/>
      <c r="K16" s="289"/>
      <c r="L16" s="357">
        <f>'lokale energieproductie'!T58+'lokale energieproductie'!U58+'lokale energieproductie'!T89+'lokale energieproductie'!U89</f>
        <v>0</v>
      </c>
      <c r="M16" s="289"/>
      <c r="N16" s="357">
        <f>'lokale energieproductie'!Q58+'lokale energieproductie'!R58+'lokale energieproductie'!V58+'lokale energieproductie'!Q89+'lokale energieproductie'!R89+'lokale energieproductie'!V89</f>
        <v>0</v>
      </c>
      <c r="O16" s="289"/>
      <c r="P16" s="289"/>
      <c r="R16" s="43"/>
    </row>
    <row r="17" spans="1:18">
      <c r="A17" s="14"/>
      <c r="B17" s="40"/>
      <c r="C17" s="40"/>
      <c r="D17" s="291"/>
      <c r="E17" s="40"/>
      <c r="F17" s="40"/>
      <c r="G17" s="39"/>
      <c r="H17" s="40"/>
      <c r="I17" s="40"/>
      <c r="J17" s="40"/>
      <c r="K17" s="40"/>
      <c r="L17" s="40"/>
      <c r="M17" s="40"/>
      <c r="N17" s="40"/>
      <c r="O17" s="40"/>
      <c r="P17" s="40"/>
      <c r="R17" s="43"/>
    </row>
    <row r="18" spans="1:18">
      <c r="A18" s="31" t="s">
        <v>291</v>
      </c>
      <c r="B18" s="32">
        <f>B5+B16</f>
        <v>2087.9345772822685</v>
      </c>
      <c r="C18" s="32">
        <f>C5+C16</f>
        <v>0</v>
      </c>
      <c r="D18" s="32">
        <f>IF((D5-D16)&lt;0,0,(D5-D16))</f>
        <v>322056.8081434943</v>
      </c>
      <c r="E18" s="32">
        <f t="shared" ref="E18" si="1">IF((E5-E16)&lt;0,0,(E5-E16))</f>
        <v>24.339969835937236</v>
      </c>
      <c r="F18" s="32">
        <f>IF((F5-F16)&lt;0,0,(F5-F16))</f>
        <v>858.79223362133735</v>
      </c>
      <c r="G18" s="32"/>
      <c r="H18" s="32"/>
      <c r="I18" s="32"/>
      <c r="J18" s="32">
        <f>IF((J5-J16)&lt;0,0,(J5-J16))</f>
        <v>6.0109829516180202</v>
      </c>
      <c r="K18" s="32"/>
      <c r="L18" s="32">
        <f>IF((L5-L16)&lt;0,0,(L5-L16))</f>
        <v>0</v>
      </c>
      <c r="M18" s="32"/>
      <c r="N18" s="32">
        <f>IF((N5-N16)&lt;0,0,(N5-N16))</f>
        <v>80.420311207402676</v>
      </c>
      <c r="O18" s="32">
        <f t="shared" ref="O18:P18" si="2">IF((O5-O16)&lt;0,0,(O5-O16))</f>
        <v>0</v>
      </c>
      <c r="P18" s="32">
        <f t="shared" si="2"/>
        <v>0</v>
      </c>
      <c r="R18" s="43"/>
    </row>
    <row r="19" spans="1:18">
      <c r="A19" s="18"/>
      <c r="B19" s="33"/>
      <c r="C19" s="33"/>
      <c r="D19" s="33"/>
      <c r="E19" s="33"/>
      <c r="F19" s="33"/>
      <c r="G19" s="33"/>
      <c r="H19" s="33"/>
      <c r="I19" s="33"/>
      <c r="J19" s="33"/>
      <c r="K19" s="33"/>
      <c r="L19" s="33"/>
      <c r="M19" s="33"/>
      <c r="N19" s="33"/>
      <c r="O19" s="33"/>
      <c r="P19" s="33"/>
    </row>
    <row r="20" spans="1:18">
      <c r="A20" s="35" t="s">
        <v>220</v>
      </c>
      <c r="B20" s="36">
        <f ca="1">'EF ele_warmte'!B12</f>
        <v>0.20531165224649006</v>
      </c>
      <c r="C20" s="36">
        <f ca="1">'EF ele_warmte'!B22</f>
        <v>0</v>
      </c>
      <c r="D20" s="36">
        <f>EF_CO2_aardgas</f>
        <v>0.20200000000000001</v>
      </c>
      <c r="E20" s="36">
        <f>EF_VLgas_CO2</f>
        <v>0.22700000000000001</v>
      </c>
      <c r="F20" s="36">
        <f>EF_stookolie_CO2</f>
        <v>0.26700000000000002</v>
      </c>
      <c r="G20" s="36">
        <f>EF_diesel_CO2</f>
        <v>0.26700000000000002</v>
      </c>
      <c r="H20" s="36">
        <f>EF_benzine_CO2</f>
        <v>0.249</v>
      </c>
      <c r="I20" s="36">
        <f>EF_bruinkool_CO2</f>
        <v>0.35099999999999998</v>
      </c>
      <c r="J20" s="36">
        <f>EF_steenkool_CO2</f>
        <v>0.35399999999999998</v>
      </c>
      <c r="K20" s="36">
        <f>EF_anderfossiel_CO2</f>
        <v>0.26400000000000001</v>
      </c>
      <c r="L20" s="36">
        <f>'EF brandstof'!J4</f>
        <v>0</v>
      </c>
      <c r="M20" s="36">
        <f>'EF brandstof'!K4</f>
        <v>0</v>
      </c>
      <c r="N20" s="36">
        <f>'EF brandstof'!L4</f>
        <v>0</v>
      </c>
      <c r="O20" s="36">
        <v>0</v>
      </c>
      <c r="P20" s="36">
        <v>0</v>
      </c>
    </row>
    <row r="21" spans="1:18">
      <c r="A21"/>
      <c r="B21" s="33"/>
      <c r="C21" s="33"/>
      <c r="D21" s="33"/>
      <c r="E21" s="33"/>
      <c r="F21" s="33"/>
      <c r="G21" s="33"/>
      <c r="H21" s="33"/>
      <c r="I21" s="33"/>
      <c r="J21" s="33"/>
      <c r="K21" s="33"/>
      <c r="L21" s="33"/>
      <c r="M21" s="33"/>
      <c r="N21" s="33"/>
      <c r="O21" s="33"/>
      <c r="P21" s="33"/>
    </row>
    <row r="22" spans="1:18">
      <c r="A22" s="31" t="s">
        <v>219</v>
      </c>
      <c r="B22" s="34">
        <f ca="1">B18*B20</f>
        <v>428.67729784439933</v>
      </c>
      <c r="C22" s="34">
        <f ca="1">C18*C20</f>
        <v>0</v>
      </c>
      <c r="D22" s="34">
        <f>D18*D20</f>
        <v>65055.47524498585</v>
      </c>
      <c r="E22" s="34">
        <f>E18*E20</f>
        <v>5.5251731527577528</v>
      </c>
      <c r="F22" s="34">
        <f>F18*F20</f>
        <v>229.29752637689708</v>
      </c>
      <c r="G22" s="34"/>
      <c r="H22" s="34"/>
      <c r="I22" s="34"/>
      <c r="J22" s="34">
        <f>J18*J20</f>
        <v>2.1278879648727789</v>
      </c>
      <c r="K22" s="34"/>
      <c r="L22" s="34">
        <f>L18*L20</f>
        <v>0</v>
      </c>
      <c r="M22" s="34">
        <f>M18*M20</f>
        <v>0</v>
      </c>
      <c r="N22" s="34">
        <f>N18*N20</f>
        <v>0</v>
      </c>
      <c r="O22" s="34">
        <f>O18*O20</f>
        <v>0</v>
      </c>
      <c r="P22" s="34">
        <f>P18*P20</f>
        <v>0</v>
      </c>
    </row>
    <row r="23" spans="1:18" s="43" customFormat="1">
      <c r="A23" s="55"/>
      <c r="B23" s="40"/>
      <c r="C23" s="40"/>
      <c r="D23" s="40"/>
      <c r="E23" s="40"/>
      <c r="F23" s="40"/>
      <c r="G23" s="40"/>
      <c r="H23" s="40"/>
      <c r="I23" s="40"/>
      <c r="J23" s="40"/>
      <c r="K23" s="40"/>
      <c r="L23" s="40"/>
      <c r="M23" s="40"/>
      <c r="N23" s="40"/>
      <c r="O23" s="40"/>
      <c r="P23" s="40"/>
    </row>
    <row r="24" spans="1:18" s="43" customFormat="1">
      <c r="A24" s="55"/>
      <c r="B24" s="40"/>
      <c r="C24" s="40"/>
      <c r="D24" s="40"/>
      <c r="E24" s="40"/>
      <c r="F24" s="40"/>
      <c r="G24" s="40"/>
      <c r="H24" s="40"/>
      <c r="I24" s="40"/>
      <c r="J24" s="40"/>
      <c r="K24" s="40"/>
      <c r="L24" s="40"/>
      <c r="M24" s="40"/>
      <c r="N24" s="40"/>
      <c r="O24" s="40"/>
      <c r="P24" s="40"/>
    </row>
    <row r="25" spans="1:18">
      <c r="A25" s="211" t="s">
        <v>577</v>
      </c>
      <c r="B25" s="229"/>
      <c r="C25" s="229"/>
      <c r="D25" s="266"/>
    </row>
    <row r="26" spans="1:18">
      <c r="A26" s="277"/>
      <c r="B26" s="43"/>
      <c r="C26" s="43"/>
      <c r="D26" s="278"/>
    </row>
    <row r="27" spans="1:18">
      <c r="A27" s="279"/>
      <c r="B27" s="265" t="s">
        <v>280</v>
      </c>
      <c r="C27" s="265" t="s">
        <v>281</v>
      </c>
      <c r="D27" s="280" t="s">
        <v>188</v>
      </c>
    </row>
    <row r="28" spans="1:18">
      <c r="A28" s="189" t="s">
        <v>35</v>
      </c>
      <c r="B28" s="48"/>
      <c r="C28" s="50"/>
      <c r="D28" s="278" t="s">
        <v>641</v>
      </c>
    </row>
    <row r="29" spans="1:18">
      <c r="A29" s="189" t="s">
        <v>38</v>
      </c>
      <c r="B29" s="48">
        <f>IF( ISERROR(IND_nonf_ele_kWh/1000),0,IND_nonf_ele_kWh/1000)</f>
        <v>0</v>
      </c>
      <c r="C29" s="50">
        <f>IF(ISERROR(B29*3.6/1000000/'E Balans VL '!Z17*100),0,B29*3.6/1000000/'E Balans VL '!Z17*100)</f>
        <v>0</v>
      </c>
      <c r="D29" s="278" t="s">
        <v>641</v>
      </c>
    </row>
    <row r="30" spans="1:18">
      <c r="A30" s="189" t="s">
        <v>36</v>
      </c>
      <c r="B30" s="48">
        <f>IF( ISERROR(IND_metaal_ele_kWh/1000),0,IND_metaal_ele_kWh/1000)</f>
        <v>26.590173854962398</v>
      </c>
      <c r="C30" s="50">
        <f>IF(ISERROR(B30*3.6/1000000/'E Balans VL '!Z18*100),0,B30*3.6/1000000/'E Balans VL '!Z18*100)</f>
        <v>1.7701241108456613E-3</v>
      </c>
      <c r="D30" s="278" t="s">
        <v>641</v>
      </c>
    </row>
    <row r="31" spans="1:18">
      <c r="A31" s="14" t="s">
        <v>33</v>
      </c>
      <c r="B31" s="48">
        <f>IF( ISERROR(IND_ander_ele_kWh/1000),0,IND_ander_ele_kWh/1000)</f>
        <v>854.49409915327305</v>
      </c>
      <c r="C31" s="50">
        <f>IF(ISERROR(B31*3.6/1000000/'E Balans VL '!Z19*100),0,B31*3.6/1000000/'E Balans VL '!Z19*100)</f>
        <v>3.7876337100764483E-2</v>
      </c>
      <c r="D31" s="278" t="s">
        <v>641</v>
      </c>
    </row>
    <row r="32" spans="1:18">
      <c r="A32" s="189" t="s">
        <v>41</v>
      </c>
      <c r="B32" s="48">
        <f>IF( ISERROR(IND_voed_ele_kWh/1000),0,IND_voed_ele_kWh/1000)</f>
        <v>716.80840153338102</v>
      </c>
      <c r="C32" s="50">
        <f>IF(ISERROR(B32*3.6/1000000/'E Balans VL '!Z20*100),0,B32*3.6/1000000/'E Balans VL '!Z20*100)</f>
        <v>2.3943456868387239E-2</v>
      </c>
      <c r="D32" s="278" t="s">
        <v>641</v>
      </c>
    </row>
    <row r="33" spans="1:5">
      <c r="A33" s="189" t="s">
        <v>40</v>
      </c>
      <c r="B33" s="48">
        <f>IF( ISERROR(IND_textiel_ele_kWh/1000),0,IND_textiel_ele_kWh/1000)</f>
        <v>0</v>
      </c>
      <c r="C33" s="50">
        <f>IF(ISERROR(B33*3.6/1000000/'E Balans VL '!Z21*100),0,B33*3.6/1000000/'E Balans VL '!Z21*100)</f>
        <v>0</v>
      </c>
      <c r="D33" s="278" t="s">
        <v>641</v>
      </c>
    </row>
    <row r="34" spans="1:5">
      <c r="A34" s="189" t="s">
        <v>37</v>
      </c>
      <c r="B34" s="48">
        <f>IF( ISERROR(IND_min_ele_kWh/1000),0,IND_min_ele_kWh/1000)</f>
        <v>0</v>
      </c>
      <c r="C34" s="50">
        <f>IF(ISERROR(B34*3.6/1000000/'E Balans VL '!Z22*100),0,B34*3.6/1000000/'E Balans VL '!Z22*100)</f>
        <v>0</v>
      </c>
      <c r="D34" s="278" t="s">
        <v>641</v>
      </c>
    </row>
    <row r="35" spans="1:5">
      <c r="A35" s="189" t="s">
        <v>39</v>
      </c>
      <c r="B35" s="48">
        <f>IF( ISERROR(IND_papier_ele_kWh/1000),0,IND_papier_ele_kWh/1000)</f>
        <v>128.70397067339101</v>
      </c>
      <c r="C35" s="50">
        <f>IF(ISERROR(B34*3.6/1000000/'E Balans VL '!Z22*100),0,B34*3.6/1000000/'E Balans VL '!Z22*100)</f>
        <v>0</v>
      </c>
      <c r="D35" s="278" t="s">
        <v>641</v>
      </c>
    </row>
    <row r="36" spans="1:5">
      <c r="A36" s="189" t="s">
        <v>34</v>
      </c>
      <c r="B36" s="48">
        <f>IF( ISERROR(IND_chemie_ele_kWh/1000),0,IND_chemie_ele_kWh/1000)</f>
        <v>0</v>
      </c>
      <c r="C36" s="50">
        <f>IF(ISERROR(B36*3.6/1000000/'E Balans VL '!Z24*100),0,B36*3.6/1000000/'E Balans VL '!Z24*100)</f>
        <v>0</v>
      </c>
      <c r="D36" s="278" t="s">
        <v>641</v>
      </c>
    </row>
    <row r="37" spans="1:5">
      <c r="A37" s="189" t="s">
        <v>283</v>
      </c>
      <c r="B37" s="48">
        <f>IF( ISERROR(IND_rest_ele_kWh/1000),0,IND_rest_ele_kWh/1000)</f>
        <v>361.33793206726102</v>
      </c>
      <c r="C37" s="50">
        <f>IF(ISERROR(B37*3.6/1000000/'E Balans VL '!Z15*100),0,B37*3.6/1000000/'E Balans VL '!Z15*100)</f>
        <v>2.6877655447347108E-3</v>
      </c>
      <c r="D37" s="278" t="s">
        <v>641</v>
      </c>
    </row>
    <row r="38" spans="1:5">
      <c r="A38" s="281"/>
      <c r="B38" s="198"/>
      <c r="C38" s="198"/>
      <c r="D38" s="282"/>
    </row>
    <row r="39" spans="1:5">
      <c r="A39" s="272"/>
      <c r="B39" s="43"/>
      <c r="C39" s="43"/>
      <c r="D39" s="43"/>
      <c r="E39" s="43"/>
    </row>
    <row r="40" spans="1:5">
      <c r="A40" s="211" t="s">
        <v>570</v>
      </c>
      <c r="B40" s="229"/>
      <c r="C40" s="229"/>
      <c r="D40" s="266"/>
    </row>
    <row r="41" spans="1:5">
      <c r="A41" s="277"/>
      <c r="B41" s="43"/>
      <c r="C41" s="43"/>
      <c r="D41" s="273"/>
    </row>
    <row r="42" spans="1:5">
      <c r="A42" s="283"/>
      <c r="B42" s="284"/>
      <c r="C42" s="265" t="s">
        <v>417</v>
      </c>
      <c r="D42" s="285" t="s">
        <v>188</v>
      </c>
    </row>
    <row r="43" spans="1:5">
      <c r="A43" s="189" t="s">
        <v>279</v>
      </c>
      <c r="B43" s="366">
        <f>aantalZB_NB_industrie+aantalZB_NB_industrie_met_kantoor</f>
        <v>0</v>
      </c>
      <c r="C43" s="56"/>
      <c r="D43" s="273"/>
    </row>
    <row r="44" spans="1:5">
      <c r="A44" s="189" t="s">
        <v>567</v>
      </c>
      <c r="B44" s="362">
        <v>4.2</v>
      </c>
      <c r="C44" s="56"/>
      <c r="D44" s="356" t="s">
        <v>605</v>
      </c>
    </row>
    <row r="45" spans="1:5">
      <c r="A45" s="14" t="s">
        <v>568</v>
      </c>
      <c r="B45" s="367">
        <f>1.34/3.6</f>
        <v>0.37222222222222223</v>
      </c>
      <c r="C45" s="56" t="s">
        <v>229</v>
      </c>
      <c r="D45" s="356" t="s">
        <v>605</v>
      </c>
    </row>
    <row r="46" spans="1:5" s="43" customFormat="1">
      <c r="A46" s="193"/>
      <c r="B46" s="287"/>
      <c r="C46" s="198"/>
      <c r="D46" s="282"/>
    </row>
    <row r="48" spans="1:5">
      <c r="A48" s="212" t="s">
        <v>571</v>
      </c>
      <c r="B48" s="229"/>
      <c r="C48" s="229"/>
      <c r="D48" s="266"/>
    </row>
    <row r="49" spans="1:4">
      <c r="A49" s="271"/>
      <c r="B49" s="43"/>
      <c r="C49" s="43"/>
      <c r="D49" s="273"/>
    </row>
    <row r="50" spans="1:4">
      <c r="A50" s="283"/>
      <c r="B50" s="284"/>
      <c r="C50" s="265" t="s">
        <v>417</v>
      </c>
      <c r="D50" s="285" t="s">
        <v>188</v>
      </c>
    </row>
    <row r="51" spans="1:4">
      <c r="A51" s="189" t="s">
        <v>279</v>
      </c>
      <c r="B51" s="366">
        <f>aantalWP_NB_industrie+AantalWP_NB_industrie_met_kantoor</f>
        <v>0</v>
      </c>
      <c r="C51" s="43"/>
      <c r="D51" s="273"/>
    </row>
    <row r="52" spans="1:4">
      <c r="A52" s="189" t="s">
        <v>275</v>
      </c>
      <c r="B52" s="362">
        <v>13</v>
      </c>
      <c r="C52" s="43" t="s">
        <v>276</v>
      </c>
      <c r="D52" s="356" t="s">
        <v>605</v>
      </c>
    </row>
    <row r="53" spans="1:4">
      <c r="A53" s="189" t="s">
        <v>277</v>
      </c>
      <c r="B53" s="362">
        <v>2000</v>
      </c>
      <c r="C53" s="43" t="s">
        <v>278</v>
      </c>
      <c r="D53" s="356" t="s">
        <v>605</v>
      </c>
    </row>
    <row r="54" spans="1:4">
      <c r="A54" s="189" t="s">
        <v>472</v>
      </c>
      <c r="B54" s="362">
        <v>3.75</v>
      </c>
      <c r="C54" s="43"/>
      <c r="D54" s="356" t="s">
        <v>605</v>
      </c>
    </row>
    <row r="55" spans="1:4">
      <c r="A55" s="193"/>
      <c r="B55" s="198"/>
      <c r="C55" s="198"/>
      <c r="D55" s="282"/>
    </row>
  </sheetData>
  <mergeCells count="6">
    <mergeCell ref="A1:A3"/>
    <mergeCell ref="B1:P1"/>
    <mergeCell ref="B2:B3"/>
    <mergeCell ref="C2:C3"/>
    <mergeCell ref="D2:K2"/>
    <mergeCell ref="L2:P2"/>
  </mergeCells>
  <dataValidations count="2">
    <dataValidation type="list" allowBlank="1" showInputMessage="1" showErrorMessage="1" sqref="B2:C4 D2 D4">
      <formula1>#REF!</formula1>
    </dataValidation>
    <dataValidation type="list" allowBlank="1" showInputMessage="1" showErrorMessage="1" sqref="D3">
      <formula1>#REF!</formula1>
    </dataValidation>
  </dataValidation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977111117893"/>
  </sheetPr>
  <dimension ref="A1:R35"/>
  <sheetViews>
    <sheetView showGridLines="0" zoomScale="80" zoomScaleNormal="80" workbookViewId="0">
      <selection activeCell="C38" sqref="C38"/>
    </sheetView>
  </sheetViews>
  <sheetFormatPr defaultRowHeight="15"/>
  <cols>
    <col min="1" max="1" width="69" style="26" customWidth="1"/>
    <col min="2" max="2" width="51.140625" style="26" bestFit="1" customWidth="1"/>
    <col min="3" max="3" width="61.7109375" style="26" bestFit="1" customWidth="1"/>
    <col min="4" max="4" width="15" style="26" customWidth="1"/>
    <col min="5" max="5" width="25.5703125" style="26" customWidth="1"/>
    <col min="6" max="6" width="22.85546875" style="26" customWidth="1"/>
    <col min="7" max="7" width="17.42578125" style="26" customWidth="1"/>
    <col min="8" max="8" width="15.28515625" style="26" customWidth="1"/>
    <col min="9" max="9" width="17" style="26" customWidth="1"/>
    <col min="10" max="10" width="16" style="26" customWidth="1"/>
    <col min="11" max="11" width="20" style="26" customWidth="1"/>
    <col min="12" max="12" width="19.5703125" style="26" customWidth="1"/>
    <col min="13" max="13" width="19" style="26" customWidth="1"/>
    <col min="14" max="14" width="20.28515625" style="26" customWidth="1"/>
    <col min="15" max="15" width="17.140625" style="26" customWidth="1"/>
    <col min="16" max="16" width="21.85546875" style="26" customWidth="1"/>
    <col min="17" max="16384" width="9.140625" style="26"/>
  </cols>
  <sheetData>
    <row r="1" spans="1:18" s="363" customFormat="1" ht="17.25" thickTop="1" thickBot="1">
      <c r="A1" s="1096" t="s">
        <v>284</v>
      </c>
      <c r="B1" s="1097" t="s">
        <v>201</v>
      </c>
      <c r="C1" s="1098"/>
      <c r="D1" s="1098"/>
      <c r="E1" s="1098"/>
      <c r="F1" s="1098"/>
      <c r="G1" s="1098"/>
      <c r="H1" s="1098"/>
      <c r="I1" s="1098"/>
      <c r="J1" s="1098"/>
      <c r="K1" s="1098"/>
      <c r="L1" s="1098"/>
      <c r="M1" s="1098"/>
      <c r="N1" s="1098"/>
      <c r="O1" s="1098"/>
      <c r="P1" s="1098"/>
    </row>
    <row r="2" spans="1:18" s="363" customFormat="1" ht="15.75" thickTop="1">
      <c r="A2" s="1096"/>
      <c r="B2" s="1099" t="s">
        <v>21</v>
      </c>
      <c r="C2" s="1099" t="s">
        <v>202</v>
      </c>
      <c r="D2" s="1101" t="s">
        <v>203</v>
      </c>
      <c r="E2" s="1102"/>
      <c r="F2" s="1102"/>
      <c r="G2" s="1102"/>
      <c r="H2" s="1102"/>
      <c r="I2" s="1102"/>
      <c r="J2" s="1102"/>
      <c r="K2" s="1103"/>
      <c r="L2" s="1101" t="s">
        <v>204</v>
      </c>
      <c r="M2" s="1102"/>
      <c r="N2" s="1102"/>
      <c r="O2" s="1102"/>
      <c r="P2" s="1103"/>
    </row>
    <row r="3" spans="1:18" s="363" customFormat="1" ht="45">
      <c r="A3" s="1096"/>
      <c r="B3" s="1100"/>
      <c r="C3" s="1100"/>
      <c r="D3" s="434" t="s">
        <v>205</v>
      </c>
      <c r="E3" s="434" t="s">
        <v>206</v>
      </c>
      <c r="F3" s="434" t="s">
        <v>207</v>
      </c>
      <c r="G3" s="434" t="s">
        <v>208</v>
      </c>
      <c r="H3" s="434" t="s">
        <v>123</v>
      </c>
      <c r="I3" s="434" t="s">
        <v>209</v>
      </c>
      <c r="J3" s="434" t="s">
        <v>210</v>
      </c>
      <c r="K3" s="434" t="s">
        <v>211</v>
      </c>
      <c r="L3" s="434" t="s">
        <v>212</v>
      </c>
      <c r="M3" s="434" t="s">
        <v>213</v>
      </c>
      <c r="N3" s="434" t="s">
        <v>214</v>
      </c>
      <c r="O3" s="434" t="s">
        <v>215</v>
      </c>
      <c r="P3" s="434" t="s">
        <v>216</v>
      </c>
    </row>
    <row r="4" spans="1:18" ht="15.75">
      <c r="A4" s="24"/>
      <c r="B4" s="25"/>
      <c r="C4" s="25"/>
      <c r="D4" s="25"/>
      <c r="E4" s="25"/>
      <c r="F4" s="25"/>
      <c r="G4" s="25"/>
      <c r="H4" s="25"/>
      <c r="I4" s="25"/>
      <c r="J4" s="25"/>
      <c r="K4" s="25"/>
      <c r="L4" s="25"/>
      <c r="M4" s="25"/>
      <c r="N4" s="25"/>
      <c r="O4" s="25"/>
      <c r="P4" s="25"/>
      <c r="R4" s="14"/>
    </row>
    <row r="5" spans="1:18">
      <c r="A5" s="27" t="s">
        <v>285</v>
      </c>
      <c r="B5" s="41">
        <f>IF(ISERROR(SUM(LB_lb_ele_kWh,LB_rest_ele_kWh)/1000),0,SUM(LB_lb_ele_kWh,LB_rest_ele_kWh)/1000)</f>
        <v>174.20639361104381</v>
      </c>
      <c r="C5" s="28">
        <f>'Eigen informatie GS &amp; warmtenet'!B60</f>
        <v>0</v>
      </c>
      <c r="D5" s="41">
        <f>IF(ISERROR(SUM(LB_lb_gas_kWh,LB_rest_gas_kWh,onbekend_gas_kWh)/1000),0,SUM(LB_lb_gas_kWh,LB_rest_gas_kWh,onbekend_gas_kWh)/1000)*0.902</f>
        <v>6455.8248683048605</v>
      </c>
      <c r="E5" s="28">
        <f>B17*'E Balans VL '!I25/3.6*1000000/100</f>
        <v>1.8243270680410937</v>
      </c>
      <c r="F5" s="28">
        <f>B17*('E Balans VL '!L25/3.6*1000000+'E Balans VL '!N25/3.6*1000000)/100</f>
        <v>894.75177547173803</v>
      </c>
      <c r="G5" s="29"/>
      <c r="H5" s="28"/>
      <c r="I5" s="28"/>
      <c r="J5" s="28">
        <f>('E Balans VL '!D25+'E Balans VL '!E25)/3.6*1000000*landbouw!B17/100</f>
        <v>15.558192388009759</v>
      </c>
      <c r="K5" s="28"/>
      <c r="L5" s="28">
        <f>L6</f>
        <v>0</v>
      </c>
      <c r="M5" s="28"/>
      <c r="N5" s="28">
        <f>N6</f>
        <v>0</v>
      </c>
      <c r="O5" s="28"/>
      <c r="P5" s="28"/>
      <c r="R5" s="43"/>
    </row>
    <row r="6" spans="1:18">
      <c r="A6" s="27" t="s">
        <v>578</v>
      </c>
      <c r="B6" s="28" t="s">
        <v>217</v>
      </c>
      <c r="C6" s="28">
        <f>'lokale energieproductie'!O91+'lokale energieproductie'!O60</f>
        <v>0</v>
      </c>
      <c r="D6" s="357">
        <f>'lokale energieproductie'!P60+'lokale energieproductie'!P91</f>
        <v>0</v>
      </c>
      <c r="E6" s="289"/>
      <c r="F6" s="357">
        <f>'lokale energieproductie'!S60+'lokale energieproductie'!S91</f>
        <v>0</v>
      </c>
      <c r="G6" s="290"/>
      <c r="H6" s="289"/>
      <c r="I6" s="289"/>
      <c r="J6" s="289"/>
      <c r="K6" s="289"/>
      <c r="L6" s="357">
        <f>'lokale energieproductie'!T60+'lokale energieproductie'!U60+'lokale energieproductie'!T91+'lokale energieproductie'!U91</f>
        <v>0</v>
      </c>
      <c r="M6" s="289"/>
      <c r="N6" s="357">
        <f>'lokale energieproductie'!V60+'lokale energieproductie'!R60+'lokale energieproductie'!Q60+'lokale energieproductie'!Q91+'lokale energieproductie'!R91+'lokale energieproductie'!V91</f>
        <v>0</v>
      </c>
      <c r="O6" s="289"/>
      <c r="P6" s="289"/>
      <c r="R6" s="43"/>
    </row>
    <row r="7" spans="1:18">
      <c r="A7" s="43"/>
      <c r="B7" s="40"/>
      <c r="C7" s="40"/>
      <c r="D7" s="291"/>
      <c r="E7" s="40"/>
      <c r="F7" s="40"/>
      <c r="G7" s="39"/>
      <c r="H7" s="40"/>
      <c r="I7" s="40"/>
      <c r="J7" s="40"/>
      <c r="K7" s="40"/>
      <c r="L7" s="40"/>
      <c r="M7" s="40"/>
      <c r="N7" s="40"/>
      <c r="O7" s="40"/>
      <c r="P7" s="40"/>
      <c r="R7" s="43"/>
    </row>
    <row r="8" spans="1:18">
      <c r="A8" s="31" t="s">
        <v>286</v>
      </c>
      <c r="B8" s="32">
        <f>B5</f>
        <v>174.20639361104381</v>
      </c>
      <c r="C8" s="32">
        <f>C5+C6</f>
        <v>0</v>
      </c>
      <c r="D8" s="32">
        <f>IF((D5-D6)&lt;0,0,D5-D6)</f>
        <v>6455.8248683048605</v>
      </c>
      <c r="E8" s="32">
        <f>IF((E5-E6)&lt;0,0,E5-E6)</f>
        <v>1.8243270680410937</v>
      </c>
      <c r="F8" s="32">
        <f>IF((F5-F6)&lt;0,0,F5-F6)</f>
        <v>894.75177547173803</v>
      </c>
      <c r="G8" s="32"/>
      <c r="H8" s="32"/>
      <c r="I8" s="32"/>
      <c r="J8" s="32">
        <f>IF((J5-J6)&lt;0,0,J5-J6)</f>
        <v>15.558192388009759</v>
      </c>
      <c r="K8" s="32"/>
      <c r="L8" s="32">
        <f>IF((L5-L6)&lt;0,0,L5-L6)</f>
        <v>0</v>
      </c>
      <c r="M8" s="32"/>
      <c r="N8" s="32">
        <f>IF((N5-N6)&lt;0,0,N5-N6)</f>
        <v>0</v>
      </c>
      <c r="O8" s="32"/>
      <c r="P8" s="32"/>
      <c r="R8" s="43"/>
    </row>
    <row r="9" spans="1:18">
      <c r="A9"/>
      <c r="B9" s="30"/>
      <c r="C9" s="30"/>
      <c r="D9" s="30"/>
      <c r="E9" s="30"/>
      <c r="F9" s="30"/>
      <c r="G9" s="30"/>
      <c r="H9" s="30"/>
      <c r="I9" s="30"/>
      <c r="J9" s="30"/>
      <c r="K9" s="30"/>
      <c r="L9" s="30"/>
      <c r="M9" s="30"/>
      <c r="N9" s="30"/>
      <c r="O9" s="30"/>
      <c r="P9" s="30"/>
      <c r="R9" s="43"/>
    </row>
    <row r="10" spans="1:18">
      <c r="A10" s="35" t="s">
        <v>220</v>
      </c>
      <c r="B10" s="42">
        <f ca="1">'EF ele_warmte'!B12</f>
        <v>0.20531165224649006</v>
      </c>
      <c r="C10" s="42">
        <f ca="1">'EF ele_warmte'!B22</f>
        <v>0</v>
      </c>
      <c r="D10" s="42">
        <f>EF_CO2_aardgas</f>
        <v>0.20200000000000001</v>
      </c>
      <c r="E10" s="42">
        <f>EF_VLgas_CO2</f>
        <v>0.22700000000000001</v>
      </c>
      <c r="F10" s="42">
        <f>EF_stookolie_CO2</f>
        <v>0.26700000000000002</v>
      </c>
      <c r="G10" s="42">
        <f>EF_diesel_CO2</f>
        <v>0.26700000000000002</v>
      </c>
      <c r="H10" s="42">
        <f>EF_benzine_CO2</f>
        <v>0.249</v>
      </c>
      <c r="I10" s="42">
        <f>EF_bruinkool_CO2</f>
        <v>0.35099999999999998</v>
      </c>
      <c r="J10" s="42">
        <f>EF_steenkool_CO2</f>
        <v>0.35399999999999998</v>
      </c>
      <c r="K10" s="42">
        <f>EF_anderfossiel_CO2</f>
        <v>0.26400000000000001</v>
      </c>
      <c r="L10" s="42">
        <f>'EF brandstof'!J4</f>
        <v>0</v>
      </c>
      <c r="M10" s="42">
        <f>'EF brandstof'!K4</f>
        <v>0</v>
      </c>
      <c r="N10" s="42">
        <f>'EF brandstof'!L4</f>
        <v>0</v>
      </c>
      <c r="O10" s="42"/>
      <c r="P10" s="42"/>
    </row>
    <row r="11" spans="1:18">
      <c r="A11"/>
      <c r="B11" s="33"/>
      <c r="C11" s="33"/>
      <c r="D11" s="33"/>
      <c r="E11" s="33"/>
      <c r="F11" s="33"/>
      <c r="G11" s="33"/>
      <c r="H11" s="33"/>
      <c r="I11" s="33"/>
      <c r="J11" s="33"/>
      <c r="K11" s="33"/>
      <c r="L11" s="33"/>
      <c r="M11" s="33"/>
      <c r="N11" s="33"/>
      <c r="O11" s="33"/>
      <c r="P11" s="33"/>
    </row>
    <row r="12" spans="1:18">
      <c r="A12" s="31" t="s">
        <v>219</v>
      </c>
      <c r="B12" s="34">
        <f ca="1">B8*B10</f>
        <v>35.766602504185798</v>
      </c>
      <c r="C12" s="34">
        <f ca="1">C8*C10</f>
        <v>0</v>
      </c>
      <c r="D12" s="34">
        <f>D8*D10</f>
        <v>1304.0766233975819</v>
      </c>
      <c r="E12" s="34">
        <f>E8*E10</f>
        <v>0.4141222444453283</v>
      </c>
      <c r="F12" s="34">
        <f>F8*F10</f>
        <v>238.89872405095406</v>
      </c>
      <c r="G12" s="34"/>
      <c r="H12" s="34"/>
      <c r="I12" s="34"/>
      <c r="J12" s="34">
        <f>J8*J10</f>
        <v>5.5076001053554542</v>
      </c>
      <c r="K12" s="34"/>
      <c r="L12" s="34">
        <f>L8*L10</f>
        <v>0</v>
      </c>
      <c r="M12" s="34">
        <f>M8*M10</f>
        <v>0</v>
      </c>
      <c r="N12" s="34">
        <f>N8*N10</f>
        <v>0</v>
      </c>
      <c r="O12" s="34"/>
      <c r="P12" s="34"/>
    </row>
    <row r="14" spans="1:18">
      <c r="A14" s="211" t="s">
        <v>584</v>
      </c>
      <c r="B14" s="229"/>
      <c r="C14" s="266"/>
    </row>
    <row r="15" spans="1:18">
      <c r="A15" s="277"/>
      <c r="B15" s="43"/>
      <c r="C15" s="278"/>
    </row>
    <row r="16" spans="1:18">
      <c r="A16" s="296"/>
      <c r="B16" s="55" t="s">
        <v>305</v>
      </c>
      <c r="C16" s="280" t="s">
        <v>188</v>
      </c>
    </row>
    <row r="17" spans="1:4">
      <c r="A17" s="297" t="s">
        <v>115</v>
      </c>
      <c r="B17" s="295">
        <f>IF(ISERROR(SUM(LB_lb_ele_kWh,LB_rest_ele_kWh)*3.6/1000000000/'E Balans VL '!Z26*100),0,SUM(LB_lb_ele_kWh,LB_rest_ele_kWh)*3.6/1000000000/'E Balans VL '!Z26*100)</f>
        <v>2.6813726781577417E-2</v>
      </c>
      <c r="C17" s="278" t="s">
        <v>641</v>
      </c>
      <c r="D17" s="293"/>
    </row>
    <row r="18" spans="1:4">
      <c r="A18" s="281"/>
      <c r="B18" s="294"/>
      <c r="C18" s="282"/>
    </row>
    <row r="19" spans="1:4">
      <c r="A19" s="43"/>
      <c r="B19" s="61"/>
      <c r="C19" s="43"/>
    </row>
    <row r="20" spans="1:4">
      <c r="A20" s="43"/>
      <c r="B20" s="61"/>
      <c r="C20" s="43"/>
    </row>
    <row r="21" spans="1:4" ht="15.75" thickBot="1">
      <c r="B21" s="43"/>
    </row>
    <row r="22" spans="1:4" ht="15.75" customHeight="1">
      <c r="A22" s="1104" t="s">
        <v>316</v>
      </c>
      <c r="B22" s="1107" t="s">
        <v>317</v>
      </c>
      <c r="C22" s="1107" t="s">
        <v>583</v>
      </c>
    </row>
    <row r="23" spans="1:4">
      <c r="A23" s="1105"/>
      <c r="B23" s="1108"/>
      <c r="C23" s="1108"/>
    </row>
    <row r="24" spans="1:4" ht="15.75" thickBot="1">
      <c r="A24" s="1106"/>
      <c r="B24" s="1109"/>
      <c r="C24" s="1109"/>
    </row>
    <row r="25" spans="1:4" ht="15.75">
      <c r="A25" s="24"/>
      <c r="B25" s="43"/>
    </row>
    <row r="26" spans="1:4">
      <c r="A26" s="53" t="s">
        <v>287</v>
      </c>
      <c r="B26" s="288">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landbouw'!B13*aantalGeiten)/1000</f>
        <v>27.192260999999998</v>
      </c>
      <c r="C26" s="288">
        <f>B26*'GWP N2O_CH4'!B5</f>
        <v>571.03748099999996</v>
      </c>
      <c r="D26" s="64"/>
    </row>
    <row r="27" spans="1:4">
      <c r="A27" s="53" t="s">
        <v>288</v>
      </c>
      <c r="B27" s="288">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landbouw'!B40*Aantal_pluimvee)/1000</f>
        <v>3.4490199999999995</v>
      </c>
      <c r="C27" s="288">
        <f>B27*'GWP N2O_CH4'!B5</f>
        <v>72.429419999999993</v>
      </c>
      <c r="D27" s="64"/>
    </row>
    <row r="28" spans="1:4">
      <c r="A28" s="53" t="s">
        <v>289</v>
      </c>
      <c r="B28" s="288">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landbouw'!B50*Aantal_pluimvee)/1000</f>
        <v>0.20529100000000003</v>
      </c>
      <c r="C28" s="288">
        <f>B28*'GWP N2O_CH4'!B4</f>
        <v>63.64021000000001</v>
      </c>
      <c r="D28" s="64"/>
    </row>
    <row r="29" spans="1:4">
      <c r="A29" s="53" t="s">
        <v>290</v>
      </c>
      <c r="B29" s="288">
        <f>B34*'ha_N2O bodem landbouw'!B4</f>
        <v>1.0256651097022071</v>
      </c>
      <c r="C29" s="288">
        <f>B29*'GWP N2O_CH4'!B4</f>
        <v>317.95618400768421</v>
      </c>
      <c r="D29" s="64"/>
    </row>
    <row r="31" spans="1:4">
      <c r="A31" s="211" t="s">
        <v>585</v>
      </c>
      <c r="B31" s="229"/>
      <c r="C31" s="266"/>
    </row>
    <row r="32" spans="1:4">
      <c r="A32" s="277"/>
      <c r="B32" s="43"/>
      <c r="C32" s="278"/>
    </row>
    <row r="33" spans="1:5">
      <c r="A33" s="279"/>
      <c r="B33" s="265" t="s">
        <v>750</v>
      </c>
      <c r="C33" s="280" t="s">
        <v>188</v>
      </c>
    </row>
    <row r="34" spans="1:5">
      <c r="A34" s="298" t="s">
        <v>115</v>
      </c>
      <c r="B34" s="46">
        <f>IF(ISERROR(aantalCultuurgronden/'ha_N2O bodem landbouw'!B5),0,aantalCultuurgronden/'ha_N2O bodem landbouw'!B5)</f>
        <v>1.6950463015279207E-4</v>
      </c>
      <c r="C34" s="299" t="s">
        <v>749</v>
      </c>
      <c r="D34" s="38"/>
      <c r="E34" s="38"/>
    </row>
    <row r="35" spans="1:5">
      <c r="A35" s="281"/>
      <c r="B35" s="198"/>
      <c r="C35" s="282"/>
      <c r="D35" s="293"/>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formula1>#REF!</formula1>
    </dataValidation>
    <dataValidation type="list" allowBlank="1" showInputMessage="1" showErrorMessage="1" sqref="D3">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249977111117893"/>
  </sheetPr>
  <dimension ref="A1:R83"/>
  <sheetViews>
    <sheetView showGridLines="0" zoomScale="93" zoomScaleNormal="93" workbookViewId="0">
      <selection activeCell="G6" sqref="G6"/>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6" s="363" customFormat="1" ht="17.25" thickTop="1" thickBot="1">
      <c r="A1" s="1096" t="s">
        <v>587</v>
      </c>
      <c r="B1" s="1097" t="s">
        <v>650</v>
      </c>
      <c r="C1" s="1098"/>
      <c r="D1" s="1098"/>
      <c r="E1" s="1098"/>
      <c r="F1" s="1098"/>
      <c r="G1" s="1098"/>
      <c r="H1" s="1098"/>
      <c r="I1" s="1098"/>
      <c r="J1" s="1098"/>
      <c r="K1" s="1098"/>
      <c r="L1" s="1098"/>
      <c r="M1" s="1098"/>
      <c r="N1" s="1098"/>
      <c r="O1" s="1098"/>
      <c r="P1" s="1098"/>
    </row>
    <row r="2" spans="1:16" s="363" customFormat="1" ht="15.75" thickTop="1">
      <c r="A2" s="1096"/>
      <c r="B2" s="1099" t="s">
        <v>21</v>
      </c>
      <c r="C2" s="1099" t="s">
        <v>202</v>
      </c>
      <c r="D2" s="1101" t="s">
        <v>203</v>
      </c>
      <c r="E2" s="1102"/>
      <c r="F2" s="1102"/>
      <c r="G2" s="1102"/>
      <c r="H2" s="1102"/>
      <c r="I2" s="1102"/>
      <c r="J2" s="1102"/>
      <c r="K2" s="1103"/>
      <c r="L2" s="1101" t="s">
        <v>204</v>
      </c>
      <c r="M2" s="1102"/>
      <c r="N2" s="1102"/>
      <c r="O2" s="1102"/>
      <c r="P2" s="1103"/>
    </row>
    <row r="3" spans="1:16" s="363" customFormat="1" ht="45">
      <c r="A3" s="1096"/>
      <c r="B3" s="1100"/>
      <c r="C3" s="1100"/>
      <c r="D3" s="434" t="s">
        <v>205</v>
      </c>
      <c r="E3" s="434" t="s">
        <v>206</v>
      </c>
      <c r="F3" s="434" t="s">
        <v>207</v>
      </c>
      <c r="G3" s="434" t="s">
        <v>208</v>
      </c>
      <c r="H3" s="434" t="s">
        <v>123</v>
      </c>
      <c r="I3" s="434" t="s">
        <v>209</v>
      </c>
      <c r="J3" s="434" t="s">
        <v>210</v>
      </c>
      <c r="K3" s="434" t="s">
        <v>211</v>
      </c>
      <c r="L3" s="434" t="s">
        <v>212</v>
      </c>
      <c r="M3" s="434" t="s">
        <v>213</v>
      </c>
      <c r="N3" s="434" t="s">
        <v>214</v>
      </c>
      <c r="O3" s="434" t="s">
        <v>215</v>
      </c>
      <c r="P3" s="434" t="s">
        <v>216</v>
      </c>
    </row>
    <row r="4" spans="1:16">
      <c r="C4" s="26"/>
    </row>
    <row r="5" spans="1:16" s="18" customFormat="1">
      <c r="A5" s="332" t="s">
        <v>361</v>
      </c>
      <c r="B5" s="520">
        <f>SUM(B6:B14)</f>
        <v>3.1721858616429071E-7</v>
      </c>
      <c r="C5" s="539" t="s">
        <v>217</v>
      </c>
      <c r="D5" s="520">
        <f t="shared" ref="D5:M5" si="0">SUM(D6:D14)</f>
        <v>2.9423078179157032E-6</v>
      </c>
      <c r="E5" s="520">
        <f t="shared" si="0"/>
        <v>1.4898994999795819E-3</v>
      </c>
      <c r="F5" s="537" t="s">
        <v>217</v>
      </c>
      <c r="G5" s="520">
        <f t="shared" si="0"/>
        <v>0.16626033514206637</v>
      </c>
      <c r="H5" s="520">
        <f t="shared" si="0"/>
        <v>3.3971681529163952E-2</v>
      </c>
      <c r="I5" s="539" t="s">
        <v>217</v>
      </c>
      <c r="J5" s="539" t="s">
        <v>217</v>
      </c>
      <c r="K5" s="539" t="s">
        <v>217</v>
      </c>
      <c r="L5" s="539" t="s">
        <v>217</v>
      </c>
      <c r="M5" s="520">
        <f t="shared" si="0"/>
        <v>8.2504569373645434E-3</v>
      </c>
      <c r="N5" s="539" t="s">
        <v>217</v>
      </c>
      <c r="O5" s="539" t="s">
        <v>217</v>
      </c>
      <c r="P5" s="540" t="s">
        <v>217</v>
      </c>
    </row>
    <row r="6" spans="1:16">
      <c r="A6" s="304" t="s">
        <v>349</v>
      </c>
      <c r="B6" s="521">
        <f>vkm_2011_GW_LV*$D$29*'ECF transport '!$F$35+vkm_2011_GW_LV*transport!$J$29*'ECF transport '!$F$44</f>
        <v>1.6986248691236424E-8</v>
      </c>
      <c r="C6" s="521"/>
      <c r="D6" s="521">
        <f>vkm_2011_GW_LV*B29*'ECF transport '!F8</f>
        <v>1.7294257451755127E-7</v>
      </c>
      <c r="E6" s="521">
        <f>vkm_2011_GW_LV*E29*'ECF transport '!F50</f>
        <v>2.7730129166229345E-5</v>
      </c>
      <c r="F6" s="521"/>
      <c r="G6" s="521">
        <f>(1-$C$39)*vkm_2011_GW_LV*($C$29*'ECF transport '!$F$17+transport!$H$29*'ECF transport '!$F$27+$J$29*'ECF transport '!$F$28)</f>
        <v>2.0835646895547835E-3</v>
      </c>
      <c r="H6" s="521">
        <f>(1-$C$46)*vkm_2011_GW_LV*($F$29*'ECF transport '!$F$59)</f>
        <v>3.9828467165956966E-5</v>
      </c>
      <c r="I6" s="521"/>
      <c r="J6" s="521"/>
      <c r="K6" s="521"/>
      <c r="L6" s="521"/>
      <c r="M6" s="521">
        <f>($C$39)*vkm_2011_GW_LV*($C$29*'ECF transport '!$F$17+transport!$H$29*'ECF transport '!$F$27+$J$29*'ECF transport '!$F$28) + ($C$46)*vkm_2011_GW_LV*($F$29*'ECF transport '!$F$59)</f>
        <v>8.7122235507951421E-5</v>
      </c>
      <c r="N6" s="521"/>
      <c r="O6" s="521"/>
      <c r="P6" s="522"/>
    </row>
    <row r="7" spans="1:16">
      <c r="A7" s="304" t="s">
        <v>350</v>
      </c>
      <c r="B7" s="521">
        <f>vkm_2011_GW_PW*$D$27*'ECF transport '!$F$32+vkm_2011_GW_PW*transport!$I$27*'ECF transport '!$F$41+ vkm_2011_GW_PW*J27*'ECF transport '!F38</f>
        <v>2.0512330610324056E-7</v>
      </c>
      <c r="C7" s="521"/>
      <c r="D7" s="521">
        <f>vkm_2011_GW_PW*B27*'ECF transport '!F5</f>
        <v>1.6232501874235991E-6</v>
      </c>
      <c r="E7" s="523">
        <f>vkm_2011_GW_PW*E27*'ECF transport '!F47</f>
        <v>9.3131491543632465E-4</v>
      </c>
      <c r="F7" s="523"/>
      <c r="G7" s="521">
        <f>(1-$C$39)*vkm_2011_GW_PW*($C$27*'ECF transport '!$F$11+transport!$H$27*'ECF transport '!$F$21+transport!$J$27*'ECF transport '!$F$22)</f>
        <v>7.9752281410744835E-2</v>
      </c>
      <c r="H7" s="521">
        <f>(1-$C$46)*vkm_2011_GW_PW*($F$27*'ECF transport '!$F$54+transport!$G$27*'ECF transport '!$F$55+transport!I27*'ECF transport '!$F$62)</f>
        <v>2.1090428449430002E-2</v>
      </c>
      <c r="I7" s="521"/>
      <c r="J7" s="521"/>
      <c r="K7" s="521"/>
      <c r="L7" s="521"/>
      <c r="M7" s="521">
        <f>($C$39)*vkm_2011_GW_PW*($C$27*'ECF transport '!$F$11+transport!$H$27*'ECF transport '!$F$21+transport!$J$27*'ECF transport '!$F$22)  + ($C$46)*vkm_2011_GW_PW*($F$27*'ECF transport '!$F$54+transport!$G$27*'ECF transport '!$F$55+transport!H27*'ECF transport '!$F$62)</f>
        <v>4.159782495221461E-3</v>
      </c>
      <c r="N7" s="521"/>
      <c r="O7" s="521"/>
      <c r="P7" s="522"/>
    </row>
    <row r="8" spans="1:16">
      <c r="A8" s="304" t="s">
        <v>351</v>
      </c>
      <c r="B8" s="521">
        <v>0</v>
      </c>
      <c r="C8" s="521"/>
      <c r="D8" s="523">
        <v>0</v>
      </c>
      <c r="E8" s="523">
        <v>0</v>
      </c>
      <c r="F8" s="523"/>
      <c r="G8" s="521">
        <f>(1-$C$39)*vkm_2011_GW_ZV*($C$28*'ECF transport '!$F$14)</f>
        <v>2.640215607959483E-2</v>
      </c>
      <c r="H8" s="521">
        <f>0</f>
        <v>0</v>
      </c>
      <c r="I8" s="521"/>
      <c r="J8" s="521"/>
      <c r="K8" s="521"/>
      <c r="L8" s="521"/>
      <c r="M8" s="521">
        <f>($C$39)*vkm_2011_GW_ZV*($C$28*'ECF transport '!$F$14)</f>
        <v>1.0826996700759679E-3</v>
      </c>
      <c r="N8" s="521"/>
      <c r="O8" s="521"/>
      <c r="P8" s="522"/>
    </row>
    <row r="9" spans="1:16">
      <c r="A9" s="304" t="s">
        <v>352</v>
      </c>
      <c r="B9" s="521">
        <f>vkm_2011_NGW_LV*$D$29*'ECF transport '!$F$34+vkm_2011_NGW_LV*transport!$J$29*'ECF transport '!$F$43</f>
        <v>8.5811738585973191E-9</v>
      </c>
      <c r="C9" s="521"/>
      <c r="D9" s="523">
        <f>vkm_2011_NGW_LV*B29*'ECF transport '!F9</f>
        <v>1.4475872473438883E-7</v>
      </c>
      <c r="E9" s="523">
        <f>vkm_2011_NGW_LV*E29*'ECF transport '!F51</f>
        <v>1.8346745188746169E-5</v>
      </c>
      <c r="F9" s="523"/>
      <c r="G9" s="521">
        <f>(1-$C$39)*vkm_2011_NGW_LV*($C$29*'ECF transport '!$F$18+transport!$H$29*'ECF transport '!$F$29+transport!$J$29*'ECF transport '!$F$30)</f>
        <v>1.5494832455253322E-3</v>
      </c>
      <c r="H9" s="521">
        <f>(1-$C$46)*vkm_2011_NGW_LV*$F$29*'ECF transport '!$F$60</f>
        <v>3.3220106425907431E-5</v>
      </c>
      <c r="I9" s="521"/>
      <c r="J9" s="521"/>
      <c r="K9" s="521"/>
      <c r="L9" s="521"/>
      <c r="M9" s="524">
        <f>($C$39)*vkm_2011_NGW_LV*($C$29*'ECF transport '!$F$18+transport!$H$29*'ECF transport '!$F$29+transport!$J$29*'ECF transport '!$F$30) + ($C$46)*vkm_2011_NGW_LV*$F$29*'ECF transport '!$F$60</f>
        <v>6.494197387367799E-5</v>
      </c>
      <c r="N9" s="524"/>
      <c r="O9" s="524"/>
      <c r="P9" s="541"/>
    </row>
    <row r="10" spans="1:16">
      <c r="A10" s="304" t="s">
        <v>353</v>
      </c>
      <c r="B10" s="521">
        <f>vkm_2011_NGW_PW*D27*'ECF transport '!F31+vkm_2011_NGW_PW*transport!I27*'ECF transport '!F40+vkm_2011_NGW_PW*J27*'ECF transport '!F37</f>
        <v>8.6527857511216415E-8</v>
      </c>
      <c r="C10" s="521"/>
      <c r="D10" s="523">
        <f>vkm_2011_NGW_PW*B27*'ECF transport '!F6</f>
        <v>1.0013563312401641E-6</v>
      </c>
      <c r="E10" s="523">
        <f>vkm_2011_NGW_PW*E27*'ECF transport '!F48</f>
        <v>5.1250771018828149E-4</v>
      </c>
      <c r="F10" s="523"/>
      <c r="G10" s="521">
        <f>(1-$C$39)*vkm_2011_NGW_PW*($C$27*'ECF transport '!$F$12+transport!$H$27*'ECF transport '!$F$23+transport!$J$27*'ECF transport '!$F$24)</f>
        <v>4.4503094901007921E-2</v>
      </c>
      <c r="H10" s="521">
        <f>(1-$C$46)*vkm_2011_NGW_PW*($F$27*'ECF transport '!$F$56+transport!$G$27*'ECF transport '!$F$57+transport!I27*'ECF transport '!$F$63)</f>
        <v>1.2808204506142087E-2</v>
      </c>
      <c r="I10" s="521"/>
      <c r="J10" s="521"/>
      <c r="K10" s="521"/>
      <c r="L10" s="521"/>
      <c r="M10" s="521">
        <f>($C$39)*vkm_2011_NGW_PW*($C$27*'ECF transport '!$F$12+transport!$H$27*'ECF transport '!$F$23+transport!$J$27*'ECF transport '!$F$24) + ($C$46)*vkm_2011_NGW_PW*($F$27*'ECF transport '!$F$56+transport!$G$27*'ECF transport '!$F$57+transport!H27*'ECF transport '!$F$63)</f>
        <v>2.3650548329218761E-3</v>
      </c>
      <c r="N10" s="521"/>
      <c r="O10" s="521"/>
      <c r="P10" s="522"/>
    </row>
    <row r="11" spans="1:16">
      <c r="A11" s="304" t="s">
        <v>354</v>
      </c>
      <c r="B11" s="521">
        <v>0</v>
      </c>
      <c r="C11" s="521"/>
      <c r="D11" s="523">
        <v>0</v>
      </c>
      <c r="E11" s="523">
        <v>0</v>
      </c>
      <c r="F11" s="523"/>
      <c r="G11" s="521">
        <f>(1-$C$39)*vkm_2011_NGW_ZV*$C$28*'ECF transport '!$F$15</f>
        <v>1.1969754815638677E-2</v>
      </c>
      <c r="H11" s="521">
        <f>0</f>
        <v>0</v>
      </c>
      <c r="I11" s="521"/>
      <c r="J11" s="521"/>
      <c r="K11" s="521"/>
      <c r="L11" s="521"/>
      <c r="M11" s="521">
        <f>($C$39)*vkm_2011_NGW_ZV*$C$28*'ECF transport '!$F$15</f>
        <v>4.9085572976360892E-4</v>
      </c>
      <c r="N11" s="521"/>
      <c r="O11" s="521"/>
      <c r="P11" s="522"/>
    </row>
    <row r="12" spans="1:16">
      <c r="A12" s="304" t="s">
        <v>355</v>
      </c>
      <c r="B12" s="521">
        <f>vkm_2011_SW_LV*D29*'ECF transport '!F36+vkm_2011_SW_LV*transport!J29*'ECF transport '!F45</f>
        <v>0</v>
      </c>
      <c r="C12" s="521"/>
      <c r="D12" s="523">
        <f>vkm_2011_SW_LV*B29*'ECF transport '!F7</f>
        <v>0</v>
      </c>
      <c r="E12" s="523">
        <f>vkm_2011_SW_LV*E29*'ECF transport '!F49</f>
        <v>0</v>
      </c>
      <c r="F12" s="523"/>
      <c r="G12" s="521">
        <f>(1-$C$39)*vkm_2011_SW_LV*($C$29*'ECF transport '!$F$16+transport!$H$29*'ECF transport '!$F$25+transport!$J$29*'ECF transport '!$F$26)</f>
        <v>0</v>
      </c>
      <c r="H12" s="521">
        <f>(1-$C$46)*vkm_2011_SW_LV*($F$29*'ECF transport '!$F$58)</f>
        <v>0</v>
      </c>
      <c r="I12" s="521"/>
      <c r="J12" s="521"/>
      <c r="K12" s="521"/>
      <c r="L12" s="521"/>
      <c r="M12" s="521">
        <f>($C$39)*vkm_2011_SW_LV*($C$29*'ECF transport '!$F$16+transport!$H$29*'ECF transport '!$F$25+transport!$J$29*'ECF transport '!$F$26) + ($C$46)*vkm_2011_SW_LV*($F$29*'ECF transport '!$F$58)</f>
        <v>0</v>
      </c>
      <c r="N12" s="521"/>
      <c r="O12" s="521"/>
      <c r="P12" s="522"/>
    </row>
    <row r="13" spans="1:16">
      <c r="A13" s="304" t="s">
        <v>356</v>
      </c>
      <c r="B13" s="521">
        <f>vkm_2011_SW_PW*D27*'ECF transport '!F33+vkm_2011_SW_PW*transport!I27*'ECF transport '!F42+vkm_2011_SW_PW*transport!J27*'ECF transport '!F39</f>
        <v>0</v>
      </c>
      <c r="C13" s="521"/>
      <c r="D13" s="523">
        <f>vkm_2011_SW_PW*B27*'ECF transport '!F4</f>
        <v>0</v>
      </c>
      <c r="E13" s="523">
        <f>vkm_2011_SW_PW*E27*'ECF transport '!F46</f>
        <v>0</v>
      </c>
      <c r="F13" s="523"/>
      <c r="G13" s="521">
        <f>(1-$C$39)*vkm_2011_SW_PW*($C$27*'ECF transport '!$F$10+transport!$H$27*'ECF transport '!$F$19+transport!$J$27*'ECF transport '!$F$20)</f>
        <v>0</v>
      </c>
      <c r="H13" s="521">
        <f>(1-$C$46)*vkm_2011_SW_PW*($F$27*'ECF transport '!$F$52+transport!$G$27*'ECF transport '!$F$53+transport!$I$27*'ECF transport '!$F$61)</f>
        <v>0</v>
      </c>
      <c r="I13" s="521"/>
      <c r="J13" s="521"/>
      <c r="K13" s="521"/>
      <c r="L13" s="521"/>
      <c r="M13" s="521">
        <f>($C$39)*vkm_2011_SW_PW*($C$27*'ECF transport '!$F$10+transport!$H$27*'ECF transport '!$F$19+transport!$J$27*'ECF transport '!$F$20) + ($C$46)*vkm_2011_SW_PW*($F$27*'ECF transport '!$F$52+transport!$G$27*'ECF transport '!$F$53+transport!$I$27*'ECF transport '!$F$61)</f>
        <v>0</v>
      </c>
      <c r="N13" s="521"/>
      <c r="O13" s="521"/>
      <c r="P13" s="522"/>
    </row>
    <row r="14" spans="1:16">
      <c r="A14" s="7" t="s">
        <v>357</v>
      </c>
      <c r="B14" s="525">
        <v>0</v>
      </c>
      <c r="C14" s="525"/>
      <c r="D14" s="526">
        <v>0</v>
      </c>
      <c r="E14" s="526">
        <v>0</v>
      </c>
      <c r="F14" s="526"/>
      <c r="G14" s="525">
        <f>(1-$C$39)*vkm_2011_SW_ZV*($C$28*'ECF transport '!$F$13)</f>
        <v>0</v>
      </c>
      <c r="H14" s="525">
        <f>0</f>
        <v>0</v>
      </c>
      <c r="I14" s="525"/>
      <c r="J14" s="525"/>
      <c r="K14" s="525"/>
      <c r="L14" s="525"/>
      <c r="M14" s="525">
        <f>($C$39)*vkm_2011_SW_ZV*($C$28*'ECF transport '!$F$13)</f>
        <v>0</v>
      </c>
      <c r="N14" s="525"/>
      <c r="O14" s="525"/>
      <c r="P14" s="527"/>
    </row>
    <row r="15" spans="1:16">
      <c r="A15" s="379" t="s">
        <v>648</v>
      </c>
      <c r="B15" s="538">
        <f>'Eigen vloot'!B27</f>
        <v>0</v>
      </c>
      <c r="C15" s="538"/>
      <c r="D15" s="538">
        <f>'Eigen vloot'!D27</f>
        <v>0</v>
      </c>
      <c r="E15" s="538">
        <f>'Eigen vloot'!E27</f>
        <v>56.267056850603758</v>
      </c>
      <c r="F15" s="528"/>
      <c r="G15" s="538">
        <f>'Eigen vloot'!G27</f>
        <v>314.96830029037699</v>
      </c>
      <c r="H15" s="538">
        <f>'Eigen vloot'!H27</f>
        <v>38.887192530196224</v>
      </c>
      <c r="I15" s="538"/>
      <c r="J15" s="538"/>
      <c r="K15" s="538"/>
      <c r="L15" s="538"/>
      <c r="M15" s="538">
        <f>'Eigen vloot'!M27</f>
        <v>14.555941323571833</v>
      </c>
      <c r="N15" s="538"/>
      <c r="O15" s="538"/>
      <c r="P15" s="542"/>
    </row>
    <row r="16" spans="1:16">
      <c r="B16" s="22"/>
      <c r="C16" s="69"/>
      <c r="D16" s="69"/>
      <c r="E16" s="69"/>
      <c r="F16" s="69"/>
      <c r="G16" s="22"/>
      <c r="H16" s="22"/>
      <c r="I16" s="21"/>
      <c r="J16" s="22"/>
      <c r="K16" s="22"/>
      <c r="L16" s="22"/>
      <c r="M16" s="22"/>
      <c r="N16" s="22"/>
      <c r="O16" s="22"/>
      <c r="P16" s="22"/>
    </row>
    <row r="17" spans="1:18" s="26" customFormat="1">
      <c r="A17" s="31" t="s">
        <v>371</v>
      </c>
      <c r="B17" s="32">
        <f>((B5)*10^9/3600)-B15</f>
        <v>8.8116273934525188E-2</v>
      </c>
      <c r="C17" s="32"/>
      <c r="D17" s="32">
        <f>((D5)*10^9/3600)-D15</f>
        <v>0.81730772719880651</v>
      </c>
      <c r="E17" s="32">
        <f>((E5)*10^9/3600)-E15</f>
        <v>357.59391536594677</v>
      </c>
      <c r="F17" s="32"/>
      <c r="G17" s="32">
        <f>((G5)*10^9/3600)-G15</f>
        <v>45868.458128061393</v>
      </c>
      <c r="H17" s="32">
        <f>((H5)*10^9/3600)-H15</f>
        <v>9397.6910100153455</v>
      </c>
      <c r="I17" s="32"/>
      <c r="J17" s="32"/>
      <c r="K17" s="32"/>
      <c r="L17" s="32"/>
      <c r="M17" s="32">
        <f>((M5)*10^9/3600)-M15</f>
        <v>2277.2376523888015</v>
      </c>
      <c r="N17" s="32"/>
      <c r="O17" s="32"/>
      <c r="P17" s="32"/>
      <c r="R17" s="43"/>
    </row>
    <row r="18" spans="1:18" s="26" customFormat="1">
      <c r="A18" s="55"/>
      <c r="B18" s="68"/>
      <c r="C18" s="68"/>
      <c r="D18" s="68"/>
      <c r="E18" s="68"/>
      <c r="F18" s="68"/>
      <c r="G18" s="68"/>
      <c r="H18" s="68"/>
      <c r="I18" s="68"/>
      <c r="J18" s="68"/>
      <c r="K18" s="68"/>
      <c r="L18" s="68"/>
      <c r="M18" s="68"/>
      <c r="N18" s="68"/>
      <c r="O18" s="68"/>
      <c r="P18" s="68"/>
      <c r="R18" s="43"/>
    </row>
    <row r="19" spans="1:18">
      <c r="A19" s="35" t="s">
        <v>220</v>
      </c>
      <c r="B19" s="71">
        <f ca="1">'EF ele_warmte'!B12</f>
        <v>0.20531165224649006</v>
      </c>
      <c r="C19" s="71">
        <f ca="1">'EF ele_warmte'!B22</f>
        <v>0</v>
      </c>
      <c r="D19" s="36">
        <f>EF_CO2_aardgas</f>
        <v>0.20200000000000001</v>
      </c>
      <c r="E19" s="36">
        <f>EF_VLgas_CO2</f>
        <v>0.22700000000000001</v>
      </c>
      <c r="F19" s="36">
        <f>EF_stookolie_CO2</f>
        <v>0.26700000000000002</v>
      </c>
      <c r="G19" s="36">
        <f>EF_diesel_CO2</f>
        <v>0.26700000000000002</v>
      </c>
      <c r="H19" s="36">
        <f>EF_benzine_CO2</f>
        <v>0.249</v>
      </c>
      <c r="I19" s="36">
        <f>EF_bruinkool_CO2</f>
        <v>0.35099999999999998</v>
      </c>
      <c r="J19" s="36">
        <f>EF_steenkool_CO2</f>
        <v>0.35399999999999998</v>
      </c>
      <c r="K19" s="36">
        <f>EF_anderfossiel_CO2</f>
        <v>0.26400000000000001</v>
      </c>
      <c r="L19" s="71">
        <f>'EF brandstof'!J4</f>
        <v>0</v>
      </c>
      <c r="M19" s="71">
        <f>'EF brandstof'!K4</f>
        <v>0</v>
      </c>
      <c r="N19" s="71">
        <f>'EF brandstof'!L4</f>
        <v>0</v>
      </c>
      <c r="O19" s="72"/>
      <c r="P19" s="72"/>
    </row>
    <row r="20" spans="1:18" s="26" customFormat="1">
      <c r="A20" s="55"/>
      <c r="B20" s="68"/>
      <c r="C20" s="68"/>
      <c r="D20" s="68"/>
      <c r="E20" s="68"/>
      <c r="F20" s="68"/>
      <c r="G20" s="68"/>
      <c r="H20" s="68"/>
      <c r="I20" s="68"/>
      <c r="J20" s="68"/>
      <c r="K20" s="68"/>
      <c r="L20" s="68"/>
      <c r="M20" s="68"/>
      <c r="N20" s="68"/>
      <c r="O20" s="68"/>
      <c r="P20" s="68"/>
      <c r="R20" s="43"/>
    </row>
    <row r="21" spans="1:18" s="26" customFormat="1">
      <c r="A21" s="31" t="s">
        <v>373</v>
      </c>
      <c r="B21" s="34">
        <f ca="1">B17*B19</f>
        <v>1.8091297791301694E-2</v>
      </c>
      <c r="C21" s="34"/>
      <c r="D21" s="34">
        <f t="shared" ref="D21:M21" si="1">D17*D19</f>
        <v>0.16509616089415893</v>
      </c>
      <c r="E21" s="34">
        <f t="shared" si="1"/>
        <v>81.173818788069923</v>
      </c>
      <c r="F21" s="34"/>
      <c r="G21" s="34">
        <f t="shared" si="1"/>
        <v>12246.878320192392</v>
      </c>
      <c r="H21" s="34">
        <f t="shared" si="1"/>
        <v>2340.0250614938209</v>
      </c>
      <c r="I21" s="34"/>
      <c r="J21" s="34"/>
      <c r="K21" s="34"/>
      <c r="L21" s="34"/>
      <c r="M21" s="34">
        <f t="shared" si="1"/>
        <v>0</v>
      </c>
      <c r="N21" s="34"/>
      <c r="O21" s="34"/>
      <c r="P21" s="34"/>
    </row>
    <row r="22" spans="1:18" s="26" customFormat="1">
      <c r="A22" s="55"/>
      <c r="B22" s="358"/>
      <c r="C22" s="68"/>
      <c r="D22" s="68"/>
      <c r="E22" s="68"/>
      <c r="F22" s="68"/>
      <c r="G22" s="68"/>
      <c r="H22" s="68"/>
      <c r="I22" s="68"/>
      <c r="J22" s="68"/>
      <c r="K22" s="68"/>
      <c r="L22" s="68"/>
      <c r="M22" s="68"/>
      <c r="N22" s="68"/>
      <c r="O22" s="68"/>
      <c r="P22" s="68"/>
      <c r="R22" s="43"/>
    </row>
    <row r="23" spans="1:18">
      <c r="A23" s="1"/>
      <c r="B23" s="1"/>
      <c r="E23" s="950">
        <f>G6*C39</f>
        <v>8.2077010791294433E-5</v>
      </c>
    </row>
    <row r="24" spans="1:18">
      <c r="A24" s="305" t="s">
        <v>589</v>
      </c>
      <c r="B24" s="306"/>
      <c r="C24" s="307"/>
      <c r="D24" s="307"/>
      <c r="E24" s="307"/>
      <c r="F24" s="307"/>
      <c r="G24" s="307"/>
      <c r="H24" s="307"/>
      <c r="I24" s="307"/>
      <c r="J24" s="307"/>
      <c r="K24" s="307"/>
      <c r="L24" s="308"/>
    </row>
    <row r="25" spans="1:18">
      <c r="A25" s="302"/>
      <c r="B25" s="303"/>
      <c r="C25" s="56"/>
      <c r="D25" s="56"/>
      <c r="E25" s="56"/>
      <c r="F25" s="56"/>
      <c r="G25" s="56"/>
      <c r="H25" s="56"/>
      <c r="I25" s="56"/>
      <c r="J25" s="56"/>
      <c r="K25" s="56"/>
      <c r="L25" s="192"/>
    </row>
    <row r="26" spans="1:18">
      <c r="A26" s="314" t="s">
        <v>321</v>
      </c>
      <c r="B26" s="310" t="s">
        <v>322</v>
      </c>
      <c r="C26" s="310" t="s">
        <v>208</v>
      </c>
      <c r="D26" s="310" t="s">
        <v>323</v>
      </c>
      <c r="E26" s="310" t="s">
        <v>122</v>
      </c>
      <c r="F26" s="310" t="s">
        <v>123</v>
      </c>
      <c r="G26" s="310" t="s">
        <v>359</v>
      </c>
      <c r="H26" s="310" t="s">
        <v>326</v>
      </c>
      <c r="I26" s="310" t="s">
        <v>360</v>
      </c>
      <c r="J26" s="310" t="s">
        <v>327</v>
      </c>
      <c r="K26" s="144" t="s">
        <v>188</v>
      </c>
      <c r="L26" s="311" t="s">
        <v>333</v>
      </c>
    </row>
    <row r="27" spans="1:18">
      <c r="A27" s="315" t="s">
        <v>66</v>
      </c>
      <c r="B27" s="70">
        <v>1.4930375125956793E-5</v>
      </c>
      <c r="C27" s="70">
        <v>0.7911924965400049</v>
      </c>
      <c r="D27" s="70">
        <v>5.3380623147264003E-6</v>
      </c>
      <c r="E27" s="70">
        <v>8.2731622267666546E-3</v>
      </c>
      <c r="F27" s="70">
        <v>0.19809018471613599</v>
      </c>
      <c r="G27" s="70">
        <v>2.4238880796518254E-3</v>
      </c>
      <c r="H27" s="70">
        <v>0</v>
      </c>
      <c r="I27" s="70">
        <v>0</v>
      </c>
      <c r="J27" s="70">
        <v>0</v>
      </c>
      <c r="K27" s="312" t="s">
        <v>642</v>
      </c>
      <c r="L27" s="313">
        <f>SUM(B27:J27)</f>
        <v>1.0000000000000002</v>
      </c>
    </row>
    <row r="28" spans="1:18">
      <c r="A28" s="315" t="s">
        <v>67</v>
      </c>
      <c r="B28" s="70">
        <v>0</v>
      </c>
      <c r="C28" s="70">
        <v>1</v>
      </c>
      <c r="D28" s="70">
        <v>0</v>
      </c>
      <c r="E28" s="70">
        <v>0</v>
      </c>
      <c r="F28" s="70">
        <v>0</v>
      </c>
      <c r="G28" s="70">
        <v>0</v>
      </c>
      <c r="H28" s="70">
        <v>0</v>
      </c>
      <c r="I28" s="70">
        <v>0</v>
      </c>
      <c r="J28" s="70">
        <v>0</v>
      </c>
      <c r="K28" s="312" t="s">
        <v>642</v>
      </c>
      <c r="L28" s="313">
        <f>SUM(B28:J28)</f>
        <v>1</v>
      </c>
    </row>
    <row r="29" spans="1:18">
      <c r="A29" s="315" t="s">
        <v>65</v>
      </c>
      <c r="B29" s="70">
        <v>5.9004872918225346E-5</v>
      </c>
      <c r="C29" s="70">
        <v>0.97186337404900702</v>
      </c>
      <c r="D29" s="70">
        <v>1.1130866049047799E-5</v>
      </c>
      <c r="E29" s="70">
        <v>1.4444370548457252E-2</v>
      </c>
      <c r="F29" s="70">
        <v>1.3622119663568553E-2</v>
      </c>
      <c r="G29" s="70">
        <v>0</v>
      </c>
      <c r="H29" s="70">
        <v>0</v>
      </c>
      <c r="I29" s="70">
        <v>0</v>
      </c>
      <c r="J29" s="70">
        <v>0</v>
      </c>
      <c r="K29" s="312" t="s">
        <v>642</v>
      </c>
      <c r="L29" s="313">
        <f>SUM(B29:J29)</f>
        <v>1.0000000000000002</v>
      </c>
    </row>
    <row r="30" spans="1:18">
      <c r="A30" s="281"/>
      <c r="B30" s="198"/>
      <c r="C30" s="198"/>
      <c r="D30" s="198"/>
      <c r="E30" s="198"/>
      <c r="F30" s="198"/>
      <c r="G30" s="198"/>
      <c r="H30" s="198"/>
      <c r="I30" s="198"/>
      <c r="J30" s="198"/>
      <c r="K30" s="196"/>
      <c r="L30" s="194"/>
    </row>
    <row r="31" spans="1:18" s="56" customFormat="1"/>
    <row r="32" spans="1:18">
      <c r="A32" s="305" t="s">
        <v>590</v>
      </c>
      <c r="B32" s="307"/>
      <c r="C32" s="307"/>
      <c r="D32" s="307"/>
      <c r="E32" s="307"/>
      <c r="F32" s="307"/>
      <c r="G32" s="307"/>
      <c r="H32" s="307"/>
      <c r="I32" s="307"/>
      <c r="J32" s="307"/>
      <c r="K32" s="307"/>
      <c r="L32" s="308"/>
    </row>
    <row r="33" spans="1:12">
      <c r="A33" s="304"/>
      <c r="B33" s="309"/>
      <c r="C33" s="309"/>
      <c r="D33" s="309"/>
      <c r="E33" s="309"/>
      <c r="F33" s="56"/>
      <c r="G33" s="56"/>
      <c r="H33" s="56"/>
      <c r="I33" s="56"/>
      <c r="J33" s="56"/>
      <c r="K33" s="56"/>
      <c r="L33" s="192"/>
    </row>
    <row r="34" spans="1:12">
      <c r="A34" s="519" t="s">
        <v>208</v>
      </c>
      <c r="B34" s="319" t="s">
        <v>337</v>
      </c>
      <c r="C34" s="319" t="s">
        <v>338</v>
      </c>
      <c r="D34" s="319" t="s">
        <v>339</v>
      </c>
      <c r="E34" s="284" t="s">
        <v>188</v>
      </c>
      <c r="F34" s="316"/>
      <c r="G34" s="284"/>
      <c r="H34" s="284"/>
      <c r="I34" s="284"/>
      <c r="J34" s="284"/>
      <c r="K34" s="284"/>
      <c r="L34" s="317"/>
    </row>
    <row r="35" spans="1:12" ht="30">
      <c r="A35" s="320" t="s">
        <v>340</v>
      </c>
      <c r="B35" s="321">
        <v>0.87</v>
      </c>
      <c r="C35" s="322"/>
      <c r="D35" s="321">
        <v>4.2696999999999999E-2</v>
      </c>
      <c r="E35" s="378" t="s">
        <v>614</v>
      </c>
      <c r="F35" s="67"/>
      <c r="G35" s="56"/>
      <c r="H35" s="56"/>
      <c r="I35" s="56"/>
      <c r="J35" s="56"/>
      <c r="K35" s="56"/>
      <c r="L35" s="192"/>
    </row>
    <row r="36" spans="1:12" ht="30">
      <c r="A36" s="323" t="s">
        <v>341</v>
      </c>
      <c r="B36" s="324">
        <v>0.88</v>
      </c>
      <c r="C36" s="325"/>
      <c r="D36" s="324">
        <v>3.7699999999999997E-2</v>
      </c>
      <c r="E36" s="378" t="s">
        <v>614</v>
      </c>
      <c r="F36" s="67"/>
      <c r="G36" s="56"/>
      <c r="H36" s="56"/>
      <c r="I36" s="56"/>
      <c r="J36" s="56"/>
      <c r="K36" s="56"/>
      <c r="L36" s="192"/>
    </row>
    <row r="37" spans="1:12" ht="30">
      <c r="A37" s="323" t="s">
        <v>342</v>
      </c>
      <c r="B37" s="326"/>
      <c r="C37" s="327">
        <v>4.3900000000000002E-2</v>
      </c>
      <c r="D37" s="73"/>
      <c r="E37" s="378" t="s">
        <v>614</v>
      </c>
      <c r="F37" s="67"/>
      <c r="G37" s="56"/>
      <c r="H37" s="56"/>
      <c r="I37" s="56"/>
      <c r="J37" s="56"/>
      <c r="K37" s="56"/>
      <c r="L37" s="192"/>
    </row>
    <row r="38" spans="1:12">
      <c r="A38" s="323" t="s">
        <v>343</v>
      </c>
      <c r="B38" s="326"/>
      <c r="C38" s="328">
        <f>(C37*$B36)/((1-C37)*$B35+C37*$B36)</f>
        <v>4.438220254377389E-2</v>
      </c>
      <c r="D38" s="73"/>
      <c r="E38" s="172"/>
      <c r="F38" s="67"/>
      <c r="G38" s="56"/>
      <c r="H38" s="56"/>
      <c r="I38" s="56"/>
      <c r="J38" s="56"/>
      <c r="K38" s="56"/>
      <c r="L38" s="192"/>
    </row>
    <row r="39" spans="1:12">
      <c r="A39" s="323" t="s">
        <v>344</v>
      </c>
      <c r="B39" s="326"/>
      <c r="C39" s="328">
        <f>1/(1+((1/C38-1)*($D$35/$D$36)))</f>
        <v>3.9392590593783132E-2</v>
      </c>
      <c r="D39" s="73"/>
      <c r="E39" s="172"/>
      <c r="F39" s="67"/>
      <c r="G39" s="56"/>
      <c r="H39" s="56"/>
      <c r="I39" s="56"/>
      <c r="J39" s="56"/>
      <c r="K39" s="56"/>
      <c r="L39" s="192"/>
    </row>
    <row r="40" spans="1:12">
      <c r="A40" s="304"/>
      <c r="B40" s="56"/>
      <c r="C40" s="56"/>
      <c r="D40" s="56"/>
      <c r="E40" s="172"/>
      <c r="F40" s="67"/>
      <c r="G40" s="56"/>
      <c r="H40" s="56"/>
      <c r="I40" s="56"/>
      <c r="J40" s="56"/>
      <c r="K40" s="56"/>
      <c r="L40" s="192"/>
    </row>
    <row r="41" spans="1:12">
      <c r="A41" s="519" t="s">
        <v>123</v>
      </c>
      <c r="B41" s="319" t="s">
        <v>337</v>
      </c>
      <c r="C41" s="319" t="s">
        <v>338</v>
      </c>
      <c r="D41" s="319" t="s">
        <v>339</v>
      </c>
      <c r="E41" s="284" t="s">
        <v>188</v>
      </c>
      <c r="F41" s="331"/>
      <c r="G41" s="310"/>
      <c r="H41" s="310"/>
      <c r="I41" s="310"/>
      <c r="J41" s="310"/>
      <c r="K41" s="310"/>
      <c r="L41" s="311"/>
    </row>
    <row r="42" spans="1:12" ht="30">
      <c r="A42" s="323" t="s">
        <v>345</v>
      </c>
      <c r="B42" s="324">
        <v>0.755</v>
      </c>
      <c r="C42" s="325"/>
      <c r="D42" s="324">
        <v>4.3952999999999999E-2</v>
      </c>
      <c r="E42" s="378" t="s">
        <v>614</v>
      </c>
      <c r="F42" s="327"/>
      <c r="G42" s="73"/>
      <c r="H42" s="73"/>
      <c r="I42" s="73"/>
      <c r="J42" s="73"/>
      <c r="K42" s="73"/>
      <c r="L42" s="329"/>
    </row>
    <row r="43" spans="1:12" ht="30">
      <c r="A43" s="323" t="s">
        <v>346</v>
      </c>
      <c r="B43" s="324">
        <v>0.79400000000000004</v>
      </c>
      <c r="C43" s="325"/>
      <c r="D43" s="324">
        <v>2.6800000000000001E-2</v>
      </c>
      <c r="E43" s="378" t="s">
        <v>614</v>
      </c>
      <c r="F43" s="327"/>
      <c r="G43" s="73"/>
      <c r="H43" s="73"/>
      <c r="I43" s="73"/>
      <c r="J43" s="73"/>
      <c r="K43" s="73"/>
      <c r="L43" s="329"/>
    </row>
    <row r="44" spans="1:12" ht="30">
      <c r="A44" s="323" t="s">
        <v>342</v>
      </c>
      <c r="B44" s="326"/>
      <c r="C44" s="327">
        <v>6.1699999999999998E-2</v>
      </c>
      <c r="D44" s="327"/>
      <c r="E44" s="378" t="s">
        <v>614</v>
      </c>
      <c r="F44" s="73"/>
      <c r="G44" s="73"/>
      <c r="H44" s="73"/>
      <c r="I44" s="73"/>
      <c r="J44" s="73"/>
      <c r="K44" s="73"/>
      <c r="L44" s="329"/>
    </row>
    <row r="45" spans="1:12">
      <c r="A45" s="323" t="s">
        <v>347</v>
      </c>
      <c r="B45" s="326"/>
      <c r="C45" s="328">
        <f>(C44*$B43)/((1-C44)*$B42+C44*$B43)</f>
        <v>6.4681004105722389E-2</v>
      </c>
      <c r="D45" s="327"/>
      <c r="E45" s="172"/>
      <c r="F45" s="73"/>
      <c r="G45" s="73"/>
      <c r="H45" s="73"/>
      <c r="I45" s="73"/>
      <c r="J45" s="73"/>
      <c r="K45" s="73"/>
      <c r="L45" s="329"/>
    </row>
    <row r="46" spans="1:12">
      <c r="A46" s="323" t="s">
        <v>344</v>
      </c>
      <c r="B46" s="326"/>
      <c r="C46" s="328">
        <f>1/(1+((1/C45-1)*($D$42/$D$43)))</f>
        <v>4.04600424398198E-2</v>
      </c>
      <c r="D46" s="327"/>
      <c r="E46" s="172"/>
      <c r="F46" s="73"/>
      <c r="G46" s="330"/>
      <c r="H46" s="73"/>
      <c r="I46" s="73"/>
      <c r="J46" s="73"/>
      <c r="K46" s="73"/>
      <c r="L46" s="329"/>
    </row>
    <row r="47" spans="1:12">
      <c r="A47" s="7"/>
      <c r="B47" s="196"/>
      <c r="C47" s="196"/>
      <c r="D47" s="196"/>
      <c r="E47" s="196"/>
      <c r="F47" s="196"/>
      <c r="G47" s="196"/>
      <c r="H47" s="196"/>
      <c r="I47" s="196"/>
      <c r="J47" s="196"/>
      <c r="K47" s="196"/>
      <c r="L47" s="194"/>
    </row>
    <row r="48" spans="1:12" s="56" customFormat="1"/>
    <row r="49" spans="1:18" s="56" customFormat="1" ht="15.75" thickBot="1">
      <c r="A49" s="196"/>
      <c r="B49" s="196"/>
      <c r="C49" s="196"/>
      <c r="D49" s="196"/>
      <c r="E49" s="196"/>
      <c r="F49" s="196"/>
      <c r="G49" s="196"/>
      <c r="H49" s="196"/>
      <c r="I49" s="196"/>
      <c r="J49" s="196"/>
      <c r="K49" s="196"/>
      <c r="L49" s="196"/>
    </row>
    <row r="50" spans="1:18" s="26" customFormat="1" ht="17.25" thickTop="1" thickBot="1">
      <c r="A50" s="1110" t="s">
        <v>588</v>
      </c>
      <c r="B50" s="1111" t="s">
        <v>649</v>
      </c>
      <c r="C50" s="1112"/>
      <c r="D50" s="1112"/>
      <c r="E50" s="1112"/>
      <c r="F50" s="1112"/>
      <c r="G50" s="1112"/>
      <c r="H50" s="1112"/>
      <c r="I50" s="1112"/>
      <c r="J50" s="1112"/>
      <c r="K50" s="1112"/>
      <c r="L50" s="1112"/>
      <c r="M50" s="1112"/>
      <c r="N50" s="1112"/>
      <c r="O50" s="1112"/>
      <c r="P50" s="1112"/>
    </row>
    <row r="51" spans="1:18" s="26" customFormat="1" ht="15.75" thickTop="1">
      <c r="A51" s="1110"/>
      <c r="B51" s="1113" t="s">
        <v>21</v>
      </c>
      <c r="C51" s="1113" t="s">
        <v>202</v>
      </c>
      <c r="D51" s="1115" t="s">
        <v>203</v>
      </c>
      <c r="E51" s="1116"/>
      <c r="F51" s="1116"/>
      <c r="G51" s="1116"/>
      <c r="H51" s="1116"/>
      <c r="I51" s="1116"/>
      <c r="J51" s="1116"/>
      <c r="K51" s="1117"/>
      <c r="L51" s="1115" t="s">
        <v>204</v>
      </c>
      <c r="M51" s="1116"/>
      <c r="N51" s="1116"/>
      <c r="O51" s="1116"/>
      <c r="P51" s="1117"/>
    </row>
    <row r="52" spans="1:18" s="26" customFormat="1" ht="45">
      <c r="A52" s="1110"/>
      <c r="B52" s="1114"/>
      <c r="C52" s="1114"/>
      <c r="D52" s="23" t="s">
        <v>205</v>
      </c>
      <c r="E52" s="23" t="s">
        <v>206</v>
      </c>
      <c r="F52" s="23" t="s">
        <v>207</v>
      </c>
      <c r="G52" s="23" t="s">
        <v>208</v>
      </c>
      <c r="H52" s="23" t="s">
        <v>123</v>
      </c>
      <c r="I52" s="23" t="s">
        <v>209</v>
      </c>
      <c r="J52" s="23" t="s">
        <v>210</v>
      </c>
      <c r="K52" s="23" t="s">
        <v>211</v>
      </c>
      <c r="L52" s="23" t="s">
        <v>212</v>
      </c>
      <c r="M52" s="23" t="s">
        <v>213</v>
      </c>
      <c r="N52" s="23" t="s">
        <v>214</v>
      </c>
      <c r="O52" s="23" t="s">
        <v>215</v>
      </c>
      <c r="P52" s="23" t="s">
        <v>216</v>
      </c>
    </row>
    <row r="53" spans="1:18" s="26" customFormat="1">
      <c r="A53" s="55"/>
      <c r="B53" s="68"/>
      <c r="C53" s="68"/>
      <c r="D53" s="68"/>
      <c r="E53" s="68"/>
      <c r="F53" s="68"/>
      <c r="G53" s="68"/>
      <c r="H53" s="68"/>
      <c r="I53" s="68"/>
      <c r="J53" s="68"/>
      <c r="K53" s="68"/>
      <c r="L53" s="68"/>
      <c r="M53" s="68"/>
      <c r="N53" s="68"/>
      <c r="O53" s="68"/>
      <c r="P53" s="68"/>
      <c r="R53" s="43"/>
    </row>
    <row r="54" spans="1:18" s="344" customFormat="1">
      <c r="A54" s="343" t="s">
        <v>364</v>
      </c>
      <c r="B54" s="368">
        <f>SUM(B55:B56)</f>
        <v>5.0923082986189371E-3</v>
      </c>
      <c r="C54" s="368">
        <f t="shared" ref="C54:P54" si="2">SUM(C55:C56)</f>
        <v>0</v>
      </c>
      <c r="D54" s="368">
        <f t="shared" si="2"/>
        <v>0</v>
      </c>
      <c r="E54" s="368">
        <f t="shared" si="2"/>
        <v>0</v>
      </c>
      <c r="F54" s="368">
        <f t="shared" si="2"/>
        <v>0</v>
      </c>
      <c r="G54" s="368">
        <f t="shared" si="2"/>
        <v>2.6382540970424809E-3</v>
      </c>
      <c r="H54" s="368">
        <f t="shared" si="2"/>
        <v>0</v>
      </c>
      <c r="I54" s="368">
        <f t="shared" si="2"/>
        <v>0</v>
      </c>
      <c r="J54" s="368">
        <f t="shared" si="2"/>
        <v>0</v>
      </c>
      <c r="K54" s="368">
        <f t="shared" si="2"/>
        <v>0</v>
      </c>
      <c r="L54" s="368">
        <f t="shared" si="2"/>
        <v>0</v>
      </c>
      <c r="M54" s="368">
        <f t="shared" si="2"/>
        <v>1.5133093734706485E-4</v>
      </c>
      <c r="N54" s="368">
        <f t="shared" si="2"/>
        <v>0</v>
      </c>
      <c r="O54" s="368">
        <f t="shared" si="2"/>
        <v>0</v>
      </c>
      <c r="P54" s="369">
        <f t="shared" si="2"/>
        <v>0</v>
      </c>
    </row>
    <row r="55" spans="1:18">
      <c r="A55" s="304" t="s">
        <v>363</v>
      </c>
      <c r="B55" s="370"/>
      <c r="C55" s="371"/>
      <c r="D55" s="371"/>
      <c r="E55" s="371"/>
      <c r="F55" s="371"/>
      <c r="G55" s="370">
        <f>(1-C82)*B68*vkm_2011_bus*'ECF transport '!F64+B69*vkm_2011_bus*'ECF transport '!F65</f>
        <v>2.6382540970424809E-3</v>
      </c>
      <c r="H55" s="370"/>
      <c r="I55" s="372"/>
      <c r="J55" s="370"/>
      <c r="K55" s="370"/>
      <c r="L55" s="370"/>
      <c r="M55" s="370">
        <f>(C82)*B68*vkm_2011_bus*'ECF transport '!F64+B69*vkm_2011_bus*'ECF transport '!F65</f>
        <v>1.5133093734706485E-4</v>
      </c>
      <c r="N55" s="370"/>
      <c r="O55" s="370"/>
      <c r="P55" s="373"/>
    </row>
    <row r="56" spans="1:18">
      <c r="A56" s="7" t="s">
        <v>362</v>
      </c>
      <c r="B56" s="374">
        <f>vkm_2011_tram*'ECF transport '!F66</f>
        <v>5.0923082986189371E-3</v>
      </c>
      <c r="C56" s="375"/>
      <c r="D56" s="375"/>
      <c r="E56" s="375"/>
      <c r="F56" s="375"/>
      <c r="G56" s="374"/>
      <c r="H56" s="374"/>
      <c r="I56" s="376"/>
      <c r="J56" s="374"/>
      <c r="K56" s="374"/>
      <c r="L56" s="374"/>
      <c r="M56" s="374"/>
      <c r="N56" s="374"/>
      <c r="O56" s="374"/>
      <c r="P56" s="377"/>
    </row>
    <row r="57" spans="1:18">
      <c r="B57" s="22"/>
      <c r="C57" s="69"/>
      <c r="D57" s="69"/>
      <c r="E57" s="69"/>
      <c r="F57" s="69"/>
      <c r="G57" s="22"/>
      <c r="H57" s="22"/>
      <c r="I57" s="21"/>
      <c r="J57" s="22"/>
      <c r="K57" s="22"/>
      <c r="L57" s="22"/>
      <c r="M57" s="22"/>
      <c r="N57" s="22"/>
      <c r="O57" s="22"/>
      <c r="P57" s="22"/>
    </row>
    <row r="58" spans="1:18" s="26" customFormat="1">
      <c r="A58" s="31" t="s">
        <v>372</v>
      </c>
      <c r="B58" s="32">
        <f>(B54)*10^9/3600</f>
        <v>1414.5300829497046</v>
      </c>
      <c r="C58" s="32">
        <f t="shared" ref="C58:P58" si="3">(C54)*10^9/3600</f>
        <v>0</v>
      </c>
      <c r="D58" s="32">
        <f t="shared" si="3"/>
        <v>0</v>
      </c>
      <c r="E58" s="32">
        <f t="shared" si="3"/>
        <v>0</v>
      </c>
      <c r="F58" s="32">
        <f t="shared" si="3"/>
        <v>0</v>
      </c>
      <c r="G58" s="32">
        <f t="shared" si="3"/>
        <v>732.84836028957807</v>
      </c>
      <c r="H58" s="32">
        <f t="shared" si="3"/>
        <v>0</v>
      </c>
      <c r="I58" s="32">
        <f t="shared" si="3"/>
        <v>0</v>
      </c>
      <c r="J58" s="32">
        <f t="shared" si="3"/>
        <v>0</v>
      </c>
      <c r="K58" s="32">
        <f t="shared" si="3"/>
        <v>0</v>
      </c>
      <c r="L58" s="32">
        <f t="shared" si="3"/>
        <v>0</v>
      </c>
      <c r="M58" s="32">
        <f t="shared" si="3"/>
        <v>42.036371485295788</v>
      </c>
      <c r="N58" s="32">
        <f t="shared" si="3"/>
        <v>0</v>
      </c>
      <c r="O58" s="32">
        <f t="shared" si="3"/>
        <v>0</v>
      </c>
      <c r="P58" s="32">
        <f t="shared" si="3"/>
        <v>0</v>
      </c>
      <c r="R58" s="43"/>
    </row>
    <row r="59" spans="1:18" s="43" customFormat="1">
      <c r="A59" s="55"/>
      <c r="B59" s="68"/>
      <c r="C59" s="68"/>
      <c r="D59" s="68"/>
      <c r="E59" s="68"/>
      <c r="F59" s="68"/>
      <c r="G59" s="68"/>
      <c r="H59" s="68"/>
      <c r="I59" s="68"/>
      <c r="J59" s="68"/>
      <c r="K59" s="68"/>
      <c r="L59" s="68"/>
      <c r="M59" s="68"/>
      <c r="N59" s="68"/>
      <c r="O59" s="68"/>
      <c r="P59" s="68"/>
    </row>
    <row r="60" spans="1:18">
      <c r="A60" s="35" t="s">
        <v>220</v>
      </c>
      <c r="B60" s="71">
        <f ca="1">'EF ele_warmte'!B12</f>
        <v>0.20531165224649006</v>
      </c>
      <c r="C60" s="71">
        <f ca="1">'EF ele_warmte'!B22</f>
        <v>0</v>
      </c>
      <c r="D60" s="36">
        <f>EF_CO2_aardgas</f>
        <v>0.20200000000000001</v>
      </c>
      <c r="E60" s="36">
        <f>EF_VLgas_CO2</f>
        <v>0.22700000000000001</v>
      </c>
      <c r="F60" s="36">
        <f>EF_stookolie_CO2</f>
        <v>0.26700000000000002</v>
      </c>
      <c r="G60" s="36">
        <f>EF_diesel_CO2</f>
        <v>0.26700000000000002</v>
      </c>
      <c r="H60" s="36">
        <f>EF_benzine_CO2</f>
        <v>0.249</v>
      </c>
      <c r="I60" s="36">
        <f>EF_bruinkool_CO2</f>
        <v>0.35099999999999998</v>
      </c>
      <c r="J60" s="36">
        <f>EF_steenkool_CO2</f>
        <v>0.35399999999999998</v>
      </c>
      <c r="K60" s="36">
        <f>EF_anderfossiel_CO2</f>
        <v>0.26400000000000001</v>
      </c>
      <c r="L60" s="71">
        <f>'EF brandstof'!J4</f>
        <v>0</v>
      </c>
      <c r="M60" s="71">
        <f>'EF brandstof'!K4</f>
        <v>0</v>
      </c>
      <c r="N60" s="71">
        <f>'EF brandstof'!L4</f>
        <v>0</v>
      </c>
      <c r="O60" s="72"/>
      <c r="P60" s="72"/>
    </row>
    <row r="61" spans="1:18">
      <c r="A61" s="1"/>
      <c r="B61" s="1"/>
    </row>
    <row r="62" spans="1:18" s="26" customFormat="1">
      <c r="A62" s="31" t="s">
        <v>374</v>
      </c>
      <c r="B62" s="34">
        <f ca="1">B58*B60</f>
        <v>290.41950848276849</v>
      </c>
      <c r="C62" s="34">
        <f t="shared" ref="C62:P62" ca="1" si="4">C58*C60</f>
        <v>0</v>
      </c>
      <c r="D62" s="34">
        <f t="shared" si="4"/>
        <v>0</v>
      </c>
      <c r="E62" s="34">
        <f t="shared" si="4"/>
        <v>0</v>
      </c>
      <c r="F62" s="34">
        <f t="shared" si="4"/>
        <v>0</v>
      </c>
      <c r="G62" s="34">
        <f t="shared" si="4"/>
        <v>195.67051219731735</v>
      </c>
      <c r="H62" s="34">
        <f t="shared" si="4"/>
        <v>0</v>
      </c>
      <c r="I62" s="34">
        <f t="shared" si="4"/>
        <v>0</v>
      </c>
      <c r="J62" s="34">
        <f t="shared" si="4"/>
        <v>0</v>
      </c>
      <c r="K62" s="34">
        <f t="shared" si="4"/>
        <v>0</v>
      </c>
      <c r="L62" s="34">
        <f t="shared" si="4"/>
        <v>0</v>
      </c>
      <c r="M62" s="34">
        <f t="shared" si="4"/>
        <v>0</v>
      </c>
      <c r="N62" s="34">
        <f t="shared" si="4"/>
        <v>0</v>
      </c>
      <c r="O62" s="34">
        <f t="shared" si="4"/>
        <v>0</v>
      </c>
      <c r="P62" s="34">
        <f t="shared" si="4"/>
        <v>0</v>
      </c>
    </row>
    <row r="63" spans="1:18">
      <c r="A63" s="1"/>
      <c r="B63" s="1"/>
    </row>
    <row r="64" spans="1:18">
      <c r="A64" s="1"/>
      <c r="B64" s="1"/>
    </row>
    <row r="65" spans="1:12">
      <c r="A65" s="305" t="s">
        <v>664</v>
      </c>
      <c r="B65" s="307"/>
      <c r="C65" s="308"/>
    </row>
    <row r="66" spans="1:12" s="26" customFormat="1">
      <c r="A66" s="339"/>
      <c r="B66" s="335"/>
      <c r="C66" s="340"/>
    </row>
    <row r="67" spans="1:12">
      <c r="A67" s="341"/>
      <c r="B67" s="148"/>
      <c r="C67" s="342" t="s">
        <v>188</v>
      </c>
    </row>
    <row r="68" spans="1:12">
      <c r="A68" s="333" t="s">
        <v>208</v>
      </c>
      <c r="B68" s="336">
        <f>100%-B69</f>
        <v>0.98</v>
      </c>
      <c r="C68" s="192"/>
    </row>
    <row r="69" spans="1:12">
      <c r="A69" s="333" t="s">
        <v>366</v>
      </c>
      <c r="B69" s="345">
        <v>0.02</v>
      </c>
      <c r="C69" s="192" t="s">
        <v>591</v>
      </c>
    </row>
    <row r="70" spans="1:12" s="26" customFormat="1">
      <c r="A70" s="334"/>
      <c r="B70" s="312"/>
      <c r="C70" s="273"/>
    </row>
    <row r="71" spans="1:12">
      <c r="A71" s="337" t="s">
        <v>333</v>
      </c>
      <c r="B71" s="338">
        <f>SUM(B68:B69)</f>
        <v>1</v>
      </c>
      <c r="C71" s="194"/>
    </row>
    <row r="74" spans="1:12">
      <c r="A74" s="305" t="s">
        <v>590</v>
      </c>
      <c r="B74" s="307"/>
      <c r="C74" s="307"/>
      <c r="D74" s="307"/>
      <c r="E74" s="307"/>
      <c r="F74" s="307"/>
      <c r="G74" s="307"/>
      <c r="H74" s="307"/>
      <c r="I74" s="307"/>
      <c r="J74" s="307"/>
      <c r="K74" s="307"/>
      <c r="L74" s="308"/>
    </row>
    <row r="75" spans="1:12">
      <c r="A75" s="517" t="s">
        <v>665</v>
      </c>
    </row>
    <row r="76" spans="1:12">
      <c r="A76" s="304"/>
      <c r="B76" s="309"/>
      <c r="C76" s="309"/>
      <c r="D76" s="309"/>
      <c r="E76" s="309"/>
    </row>
    <row r="77" spans="1:12">
      <c r="A77" s="318"/>
      <c r="B77" s="319" t="s">
        <v>337</v>
      </c>
      <c r="C77" s="319" t="s">
        <v>338</v>
      </c>
      <c r="D77" s="319" t="s">
        <v>339</v>
      </c>
      <c r="E77" s="284" t="s">
        <v>188</v>
      </c>
    </row>
    <row r="78" spans="1:12">
      <c r="A78" t="str">
        <f t="shared" ref="A78:E79" si="5">A35</f>
        <v>diesel</v>
      </c>
      <c r="B78" s="515">
        <f t="shared" si="5"/>
        <v>0.87</v>
      </c>
      <c r="C78" s="515">
        <f t="shared" si="5"/>
        <v>0</v>
      </c>
      <c r="D78" s="515">
        <f t="shared" si="5"/>
        <v>4.2696999999999999E-2</v>
      </c>
      <c r="E78" t="str">
        <f t="shared" si="5"/>
        <v>VITO Energiebalans Vlaanderen (juni 2013)</v>
      </c>
    </row>
    <row r="79" spans="1:12">
      <c r="A79" t="str">
        <f t="shared" si="5"/>
        <v>biodiesel</v>
      </c>
      <c r="B79" s="515">
        <f t="shared" si="5"/>
        <v>0.88</v>
      </c>
      <c r="C79" s="515">
        <f t="shared" si="5"/>
        <v>0</v>
      </c>
      <c r="D79" s="515">
        <f t="shared" si="5"/>
        <v>3.7699999999999997E-2</v>
      </c>
      <c r="E79" t="str">
        <f t="shared" si="5"/>
        <v>VITO Energiebalans Vlaanderen (juni 2013)</v>
      </c>
    </row>
    <row r="80" spans="1:12">
      <c r="A80" t="str">
        <f>A37</f>
        <v>vol% liter</v>
      </c>
      <c r="B80" s="515"/>
      <c r="C80" s="516">
        <f>C37</f>
        <v>4.3900000000000002E-2</v>
      </c>
      <c r="D80" s="515"/>
      <c r="E80" t="str">
        <f>E37</f>
        <v>VITO Energiebalans Vlaanderen (juni 2013)</v>
      </c>
    </row>
    <row r="81" spans="1:4">
      <c r="A81" t="str">
        <f>A38</f>
        <v>gew% kg</v>
      </c>
      <c r="B81" s="515"/>
      <c r="C81" s="518">
        <f>C38</f>
        <v>4.438220254377389E-2</v>
      </c>
      <c r="D81" s="515"/>
    </row>
    <row r="82" spans="1:4">
      <c r="A82" t="str">
        <f>A39</f>
        <v>J%</v>
      </c>
      <c r="B82" s="515"/>
      <c r="C82" s="518">
        <f>C39</f>
        <v>3.9392590593783132E-2</v>
      </c>
      <c r="D82" s="515"/>
    </row>
    <row r="83" spans="1:4">
      <c r="B83" s="515"/>
      <c r="C83" s="515"/>
      <c r="D83" s="515"/>
    </row>
  </sheetData>
  <mergeCells count="12">
    <mergeCell ref="A1:A3"/>
    <mergeCell ref="B2:B3"/>
    <mergeCell ref="C2:C3"/>
    <mergeCell ref="D2:K2"/>
    <mergeCell ref="L2:P2"/>
    <mergeCell ref="B1:P1"/>
    <mergeCell ref="A50:A52"/>
    <mergeCell ref="B50:P50"/>
    <mergeCell ref="B51:B52"/>
    <mergeCell ref="C51:C52"/>
    <mergeCell ref="D51:K51"/>
    <mergeCell ref="L51:P51"/>
  </mergeCells>
  <dataValidations disablePrompts="1" count="1">
    <dataValidation type="list" allowBlank="1" showInputMessage="1" showErrorMessage="1" sqref="B51:D52 B2:D3">
      <formula1>#REF!</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5" tint="-0.249977111117893"/>
  </sheetPr>
  <dimension ref="A1:Z103"/>
  <sheetViews>
    <sheetView showGridLines="0" topLeftCell="A34" zoomScale="65" zoomScaleNormal="65" workbookViewId="0">
      <selection activeCell="B62" sqref="B62:Z62"/>
    </sheetView>
  </sheetViews>
  <sheetFormatPr defaultRowHeight="15"/>
  <cols>
    <col min="1" max="1" width="38" style="728" customWidth="1"/>
    <col min="2" max="2" width="27" style="728" customWidth="1"/>
    <col min="3" max="3" width="25.42578125" style="728" customWidth="1"/>
    <col min="4" max="4" width="41.28515625" style="728" customWidth="1"/>
    <col min="5" max="5" width="27.5703125" style="728" customWidth="1"/>
    <col min="6" max="7" width="18" style="728" customWidth="1"/>
    <col min="8" max="8" width="23.42578125" style="728" customWidth="1"/>
    <col min="9" max="9" width="28.5703125" style="728" customWidth="1"/>
    <col min="10" max="10" width="35.28515625" style="728" customWidth="1"/>
    <col min="11" max="11" width="32.7109375" style="728" customWidth="1"/>
    <col min="12" max="12" width="23.85546875" style="728" customWidth="1"/>
    <col min="13" max="13" width="21.140625" style="728" customWidth="1"/>
    <col min="14" max="14" width="17.5703125" style="728" customWidth="1"/>
    <col min="15" max="15" width="22.85546875" style="728" customWidth="1"/>
    <col min="16" max="16" width="19.140625" style="728" customWidth="1"/>
    <col min="17" max="17" width="24.7109375" style="728" customWidth="1"/>
    <col min="18" max="18" width="9.140625" style="728"/>
    <col min="19" max="19" width="21.140625" style="728" customWidth="1"/>
    <col min="20" max="20" width="14.85546875" style="728" customWidth="1"/>
    <col min="21" max="21" width="16.140625" style="728" customWidth="1"/>
    <col min="22" max="22" width="14.7109375" style="728" customWidth="1"/>
    <col min="23" max="24" width="16.140625" style="728" customWidth="1"/>
    <col min="25" max="25" width="17.28515625" style="728" customWidth="1"/>
    <col min="26" max="26" width="16.85546875" style="728" customWidth="1"/>
    <col min="27" max="16384" width="9.140625" style="728"/>
  </cols>
  <sheetData>
    <row r="1" spans="1:19" s="644" customFormat="1" ht="17.25" customHeight="1" thickTop="1" thickBot="1">
      <c r="A1" s="1142" t="s">
        <v>254</v>
      </c>
      <c r="B1" s="1142" t="s">
        <v>255</v>
      </c>
      <c r="C1" s="1145" t="s">
        <v>256</v>
      </c>
      <c r="D1" s="1146"/>
      <c r="E1" s="1146"/>
      <c r="F1" s="1146"/>
      <c r="G1" s="1146"/>
      <c r="H1" s="1146"/>
      <c r="I1" s="1146"/>
      <c r="J1" s="1146"/>
      <c r="K1" s="1146"/>
      <c r="L1" s="1147"/>
      <c r="M1" s="1131" t="s">
        <v>257</v>
      </c>
      <c r="N1" s="1130" t="s">
        <v>651</v>
      </c>
      <c r="O1" s="1131"/>
      <c r="Q1" s="1129"/>
      <c r="R1" s="1129"/>
      <c r="S1" s="1129"/>
    </row>
    <row r="2" spans="1:19" s="644" customFormat="1" ht="15.75" thickBot="1">
      <c r="A2" s="1143"/>
      <c r="B2" s="1143"/>
      <c r="C2" s="1166" t="s">
        <v>203</v>
      </c>
      <c r="D2" s="1167"/>
      <c r="E2" s="1167"/>
      <c r="F2" s="1167"/>
      <c r="G2" s="1168"/>
      <c r="H2" s="1169" t="s">
        <v>258</v>
      </c>
      <c r="I2" s="1155" t="s">
        <v>259</v>
      </c>
      <c r="J2" s="1155" t="s">
        <v>247</v>
      </c>
      <c r="K2" s="1155" t="s">
        <v>260</v>
      </c>
      <c r="L2" s="1157" t="s">
        <v>130</v>
      </c>
      <c r="M2" s="1133"/>
      <c r="N2" s="1132"/>
      <c r="O2" s="1133"/>
      <c r="Q2" s="1129"/>
      <c r="R2" s="1129"/>
      <c r="S2" s="1129"/>
    </row>
    <row r="3" spans="1:19" s="644" customFormat="1" ht="53.25" customHeight="1" thickBot="1">
      <c r="A3" s="1144"/>
      <c r="B3" s="1134"/>
      <c r="C3" s="645" t="s">
        <v>205</v>
      </c>
      <c r="D3" s="646" t="s">
        <v>206</v>
      </c>
      <c r="E3" s="647" t="s">
        <v>207</v>
      </c>
      <c r="F3" s="648" t="s">
        <v>209</v>
      </c>
      <c r="G3" s="649" t="s">
        <v>210</v>
      </c>
      <c r="H3" s="1152"/>
      <c r="I3" s="1156"/>
      <c r="J3" s="1156"/>
      <c r="K3" s="1156"/>
      <c r="L3" s="1165"/>
      <c r="M3" s="1135"/>
      <c r="N3" s="1134"/>
      <c r="O3" s="1135"/>
      <c r="Q3" s="1129"/>
      <c r="R3" s="1129"/>
      <c r="S3" s="1129"/>
    </row>
    <row r="4" spans="1:19" s="644" customFormat="1" ht="15.75" thickTop="1">
      <c r="A4" s="650" t="s">
        <v>262</v>
      </c>
      <c r="B4" s="651">
        <f>IF(ISERROR(kWh_wind_land),0,kWh_wind_land)</f>
        <v>0</v>
      </c>
      <c r="C4" s="1173"/>
      <c r="D4" s="1161"/>
      <c r="E4" s="1161"/>
      <c r="F4" s="1176"/>
      <c r="G4" s="1179"/>
      <c r="H4" s="1170"/>
      <c r="I4" s="1161"/>
      <c r="J4" s="1161"/>
      <c r="K4" s="652"/>
      <c r="L4" s="1162"/>
      <c r="M4" s="653"/>
      <c r="N4" s="1136"/>
      <c r="O4" s="1137"/>
      <c r="Q4" s="654"/>
      <c r="R4" s="1126"/>
      <c r="S4" s="1126"/>
    </row>
    <row r="5" spans="1:19" s="644" customFormat="1">
      <c r="A5" s="655" t="s">
        <v>263</v>
      </c>
      <c r="B5" s="651">
        <f>IF(ISERROR(kWh_waterkracht),0,kWh_waterkracht)</f>
        <v>0</v>
      </c>
      <c r="C5" s="1174"/>
      <c r="D5" s="1159"/>
      <c r="E5" s="1159"/>
      <c r="F5" s="1177"/>
      <c r="G5" s="1180"/>
      <c r="H5" s="1171"/>
      <c r="I5" s="1159"/>
      <c r="J5" s="1159"/>
      <c r="K5" s="1159"/>
      <c r="L5" s="1163"/>
      <c r="M5" s="656"/>
      <c r="N5" s="1138"/>
      <c r="O5" s="1139"/>
      <c r="Q5" s="654"/>
      <c r="R5" s="1126"/>
      <c r="S5" s="1126"/>
    </row>
    <row r="6" spans="1:19" s="644" customFormat="1">
      <c r="A6" s="655" t="s">
        <v>264</v>
      </c>
      <c r="B6" s="651">
        <f>IF(ISERROR((kWh_PV_kleiner_dan_10kW+kWh_PV_groter_dan_10kW)),0,(kWh_PV_kleiner_dan_10kW+kWh_PV_groter_dan_10kW))</f>
        <v>961</v>
      </c>
      <c r="C6" s="1175"/>
      <c r="D6" s="1160"/>
      <c r="E6" s="1160"/>
      <c r="F6" s="1178"/>
      <c r="G6" s="1181"/>
      <c r="H6" s="1172"/>
      <c r="I6" s="1160"/>
      <c r="J6" s="1160"/>
      <c r="K6" s="1160"/>
      <c r="L6" s="1164"/>
      <c r="M6" s="656"/>
      <c r="N6" s="1138"/>
      <c r="O6" s="1139"/>
      <c r="Q6" s="654"/>
      <c r="R6" s="1126"/>
      <c r="S6" s="1126"/>
    </row>
    <row r="7" spans="1:19" s="644" customFormat="1">
      <c r="A7" s="657" t="s">
        <v>265</v>
      </c>
      <c r="B7" s="658">
        <f>N57</f>
        <v>0</v>
      </c>
      <c r="C7" s="659">
        <f>B100</f>
        <v>0</v>
      </c>
      <c r="D7" s="660"/>
      <c r="E7" s="660">
        <f>E100</f>
        <v>0</v>
      </c>
      <c r="F7" s="661"/>
      <c r="G7" s="662"/>
      <c r="H7" s="660">
        <f>I100</f>
        <v>0</v>
      </c>
      <c r="I7" s="660">
        <f>G100+F100</f>
        <v>0</v>
      </c>
      <c r="J7" s="660">
        <f>H100+D100+C100</f>
        <v>0</v>
      </c>
      <c r="K7" s="660"/>
      <c r="L7" s="663"/>
      <c r="M7" s="664">
        <f>C7*$C$11+D7*$D$11+E7*$E$11+F7*$F$11+G7*$G$11+H7*$H$11+I7*$I$11+J7*$J$11</f>
        <v>0</v>
      </c>
      <c r="N7" s="1138"/>
      <c r="O7" s="1139"/>
      <c r="Q7" s="654"/>
      <c r="R7" s="1126"/>
      <c r="S7" s="1126"/>
    </row>
    <row r="8" spans="1:19" s="644" customFormat="1" ht="17.25" customHeight="1" thickBot="1">
      <c r="A8" s="665" t="s">
        <v>261</v>
      </c>
      <c r="B8" s="666">
        <f>N88+'Eigen informatie GS &amp; warmtenet'!B12</f>
        <v>0</v>
      </c>
      <c r="C8" s="667">
        <f>P88+IF(ISERROR(('Eigen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8" s="66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8" s="668">
        <f>S88+IF(ISERROR('Eigen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8" s="66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8" s="66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8" s="668">
        <f>W88+IF(ISERROR('Eigen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8" s="668">
        <f>(T88+U88)+IF(ISERROR('Eigen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8" s="668">
        <f>V88+Q88+R88+IF(ISERROR('Eigen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8" s="67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8" s="67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8" s="664">
        <f>C8*$C$11+D8*$D$11+E8*$E$11+F8*$F$11+G8*$G$11+H8*$H$11+I8*$I$11+J8*$J$11</f>
        <v>0</v>
      </c>
      <c r="N8" s="1140"/>
      <c r="O8" s="1141"/>
      <c r="P8" s="672"/>
      <c r="Q8" s="654"/>
      <c r="R8" s="1126"/>
      <c r="S8" s="1126"/>
    </row>
    <row r="9" spans="1:19" s="644" customFormat="1" ht="16.5" thickTop="1" thickBot="1">
      <c r="A9" s="673" t="s">
        <v>119</v>
      </c>
      <c r="B9" s="674">
        <f>SUM(B4:B8)</f>
        <v>961</v>
      </c>
      <c r="C9" s="675">
        <f t="shared" ref="C9:L9" si="0">SUM(C7:C8)</f>
        <v>0</v>
      </c>
      <c r="D9" s="675">
        <f t="shared" si="0"/>
        <v>0</v>
      </c>
      <c r="E9" s="675">
        <f t="shared" si="0"/>
        <v>0</v>
      </c>
      <c r="F9" s="675">
        <f t="shared" si="0"/>
        <v>0</v>
      </c>
      <c r="G9" s="675">
        <f t="shared" si="0"/>
        <v>0</v>
      </c>
      <c r="H9" s="675">
        <f t="shared" si="0"/>
        <v>0</v>
      </c>
      <c r="I9" s="675">
        <f t="shared" si="0"/>
        <v>0</v>
      </c>
      <c r="J9" s="675">
        <f t="shared" si="0"/>
        <v>0</v>
      </c>
      <c r="K9" s="675">
        <f t="shared" si="0"/>
        <v>0</v>
      </c>
      <c r="L9" s="675">
        <f t="shared" si="0"/>
        <v>0</v>
      </c>
      <c r="M9" s="676">
        <f>SUM(M4:M8)</f>
        <v>0</v>
      </c>
      <c r="N9" s="677"/>
      <c r="P9" s="678"/>
      <c r="Q9" s="654"/>
      <c r="R9" s="678"/>
      <c r="S9" s="678"/>
    </row>
    <row r="10" spans="1:19" s="681" customFormat="1" ht="15.75" thickTop="1">
      <c r="A10" s="679"/>
      <c r="B10" s="680"/>
      <c r="C10" s="680"/>
      <c r="D10" s="680"/>
      <c r="E10" s="680"/>
      <c r="F10" s="680"/>
      <c r="G10" s="680"/>
      <c r="H10" s="680"/>
      <c r="I10" s="680"/>
      <c r="J10" s="680"/>
      <c r="K10" s="680"/>
      <c r="L10" s="680"/>
      <c r="N10" s="680"/>
      <c r="P10" s="680"/>
    </row>
    <row r="11" spans="1:19" s="681" customFormat="1">
      <c r="A11" s="682" t="s">
        <v>303</v>
      </c>
      <c r="B11" s="683"/>
      <c r="C11" s="683">
        <f>EF_CO2_aardgas</f>
        <v>0.20200000000000001</v>
      </c>
      <c r="D11" s="683">
        <f>EF_VLgas_CO2</f>
        <v>0.22700000000000001</v>
      </c>
      <c r="E11" s="683">
        <f>EF_stookolie_CO2</f>
        <v>0.26700000000000002</v>
      </c>
      <c r="F11" s="683">
        <f>EF_bruinkool_CO2</f>
        <v>0.35099999999999998</v>
      </c>
      <c r="G11" s="683">
        <f>EF_steenkool_CO2</f>
        <v>0.35399999999999998</v>
      </c>
      <c r="H11" s="683">
        <f>'EF brandstof'!M4</f>
        <v>0.33</v>
      </c>
      <c r="I11" s="683">
        <f>'EF brandstof'!J4</f>
        <v>0</v>
      </c>
      <c r="J11" s="683">
        <f>'EF brandstof'!L4</f>
        <v>0</v>
      </c>
      <c r="K11" s="683">
        <f>'EF brandstof'!L4</f>
        <v>0</v>
      </c>
      <c r="L11" s="683"/>
      <c r="N11" s="684"/>
      <c r="O11" s="684"/>
      <c r="P11" s="684"/>
    </row>
    <row r="12" spans="1:19" s="644" customFormat="1" ht="15.75" thickBot="1">
      <c r="A12" s="685"/>
      <c r="B12" s="684"/>
      <c r="C12" s="684"/>
      <c r="D12" s="684"/>
      <c r="E12" s="684"/>
      <c r="F12" s="684"/>
      <c r="G12" s="684"/>
      <c r="H12" s="684"/>
      <c r="I12" s="684"/>
      <c r="J12" s="684"/>
      <c r="K12" s="684"/>
      <c r="L12" s="684"/>
      <c r="M12" s="684"/>
      <c r="N12" s="684"/>
      <c r="O12" s="684"/>
      <c r="P12" s="684"/>
    </row>
    <row r="13" spans="1:19" s="644" customFormat="1" ht="17.25" thickTop="1" thickBot="1">
      <c r="A13" s="1142" t="s">
        <v>266</v>
      </c>
      <c r="B13" s="1142" t="s">
        <v>267</v>
      </c>
      <c r="C13" s="1145" t="s">
        <v>268</v>
      </c>
      <c r="D13" s="1146"/>
      <c r="E13" s="1146"/>
      <c r="F13" s="1146"/>
      <c r="G13" s="1146"/>
      <c r="H13" s="1146"/>
      <c r="I13" s="1146"/>
      <c r="J13" s="1146"/>
      <c r="K13" s="1146"/>
      <c r="L13" s="1147"/>
      <c r="M13" s="1131" t="s">
        <v>257</v>
      </c>
      <c r="N13" s="1130" t="s">
        <v>269</v>
      </c>
      <c r="O13" s="1131"/>
      <c r="P13" s="1129"/>
      <c r="Q13" s="1129"/>
      <c r="R13" s="1129"/>
    </row>
    <row r="14" spans="1:19" s="644" customFormat="1" ht="15.75" thickBot="1">
      <c r="A14" s="1143"/>
      <c r="B14" s="1143"/>
      <c r="C14" s="1148" t="s">
        <v>203</v>
      </c>
      <c r="D14" s="1149"/>
      <c r="E14" s="1149"/>
      <c r="F14" s="1149"/>
      <c r="G14" s="1150"/>
      <c r="H14" s="1151" t="s">
        <v>258</v>
      </c>
      <c r="I14" s="1151" t="s">
        <v>259</v>
      </c>
      <c r="J14" s="1153" t="s">
        <v>247</v>
      </c>
      <c r="K14" s="1155" t="s">
        <v>270</v>
      </c>
      <c r="L14" s="1157" t="s">
        <v>130</v>
      </c>
      <c r="M14" s="1133"/>
      <c r="N14" s="1132"/>
      <c r="O14" s="1133"/>
      <c r="P14" s="1129"/>
      <c r="Q14" s="1129"/>
      <c r="R14" s="1129"/>
    </row>
    <row r="15" spans="1:19" s="644" customFormat="1" ht="40.5" customHeight="1" thickBot="1">
      <c r="A15" s="1144"/>
      <c r="B15" s="1144"/>
      <c r="C15" s="686" t="s">
        <v>205</v>
      </c>
      <c r="D15" s="646" t="s">
        <v>206</v>
      </c>
      <c r="E15" s="687" t="s">
        <v>207</v>
      </c>
      <c r="F15" s="646" t="s">
        <v>209</v>
      </c>
      <c r="G15" s="688" t="s">
        <v>210</v>
      </c>
      <c r="H15" s="1152"/>
      <c r="I15" s="1152"/>
      <c r="J15" s="1154"/>
      <c r="K15" s="1156"/>
      <c r="L15" s="1158"/>
      <c r="M15" s="1135"/>
      <c r="N15" s="1134"/>
      <c r="O15" s="1135"/>
      <c r="P15" s="1129"/>
      <c r="Q15" s="1129"/>
      <c r="R15" s="1129"/>
    </row>
    <row r="16" spans="1:19" s="644" customFormat="1" ht="15.75" thickTop="1">
      <c r="A16" s="689" t="s">
        <v>265</v>
      </c>
      <c r="B16" s="690">
        <f>O57</f>
        <v>0</v>
      </c>
      <c r="C16" s="691">
        <f>B101</f>
        <v>0</v>
      </c>
      <c r="D16" s="692"/>
      <c r="E16" s="692">
        <f>E101</f>
        <v>0</v>
      </c>
      <c r="F16" s="693"/>
      <c r="G16" s="694"/>
      <c r="H16" s="691">
        <f>I101</f>
        <v>0</v>
      </c>
      <c r="I16" s="692">
        <f>G101+F101</f>
        <v>0</v>
      </c>
      <c r="J16" s="692">
        <f>H101+D101+C101</f>
        <v>0</v>
      </c>
      <c r="K16" s="692"/>
      <c r="L16" s="695"/>
      <c r="M16" s="696">
        <f>C16*$C$21+E16*$E$21+H16*$H$21+I16*$I$21+J16*$J$21+D16*$D$21+F16*$F$21+G16*$G$21+K16*$K$21+L16*$L$21</f>
        <v>0</v>
      </c>
      <c r="N16" s="1121"/>
      <c r="O16" s="1122"/>
      <c r="P16" s="697"/>
      <c r="Q16" s="1123"/>
      <c r="R16" s="1123"/>
    </row>
    <row r="17" spans="1:26" s="644" customFormat="1">
      <c r="A17" s="698" t="s">
        <v>271</v>
      </c>
      <c r="B17" s="699">
        <f>'Eigen informatie GS &amp; warmtenet'!B32</f>
        <v>0</v>
      </c>
      <c r="C17" s="660">
        <f>'Eigen informatie GS &amp; warmtenet'!B35</f>
        <v>0</v>
      </c>
      <c r="D17" s="660">
        <f>'Eigen informatie GS &amp; warmtenet'!B36</f>
        <v>0</v>
      </c>
      <c r="E17" s="660">
        <f>'Eigen informatie GS &amp; warmtenet'!B37</f>
        <v>0</v>
      </c>
      <c r="F17" s="660">
        <f>'Eigen informatie GS &amp; warmtenet'!B38</f>
        <v>0</v>
      </c>
      <c r="G17" s="660">
        <f>'Eigen informatie GS &amp; warmtenet'!B39</f>
        <v>0</v>
      </c>
      <c r="H17" s="660">
        <f>'Eigen informatie GS &amp; warmtenet'!B40</f>
        <v>0</v>
      </c>
      <c r="I17" s="660">
        <f>'Eigen informatie GS &amp; warmtenet'!B41</f>
        <v>0</v>
      </c>
      <c r="J17" s="660">
        <f>'Eigen informatie GS &amp; warmtenet'!B42</f>
        <v>0</v>
      </c>
      <c r="K17" s="660">
        <f>'Eigen informatie GS &amp; warmtenet'!B43</f>
        <v>0</v>
      </c>
      <c r="L17" s="660">
        <f>'Eigen informatie GS &amp; warmtenet'!B44</f>
        <v>0</v>
      </c>
      <c r="M17" s="696">
        <f>C17*$C$21+E17*$E$21+H17*$H$21+I17*$I$21+J17*$J$21+D17*$D$21+F17*$F$21+G17*$G$21+K17*$K$21+L17*$L$21</f>
        <v>0</v>
      </c>
      <c r="N17" s="1124"/>
      <c r="O17" s="1125"/>
      <c r="P17" s="654"/>
      <c r="Q17" s="1126"/>
      <c r="R17" s="1126"/>
    </row>
    <row r="18" spans="1:26" s="644" customFormat="1" ht="15.75" thickBot="1">
      <c r="A18" s="665" t="s">
        <v>261</v>
      </c>
      <c r="B18" s="699">
        <f>'Eigen informatie GS &amp; warmtenet'!B11</f>
        <v>0</v>
      </c>
      <c r="C18" s="70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8" s="70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8" s="70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8" s="70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8" s="70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8" s="70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8" s="70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8" s="70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8" s="70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8" s="70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8" s="696">
        <f>C18*$C$21+E18*$E$21+H18*$H$21+I18*$I$21+J18*$J$21+D18*$D$21+F18*$F$21+G18*$G$21+K18*$K$21+L18*$L$21</f>
        <v>0</v>
      </c>
      <c r="N18" s="1127"/>
      <c r="O18" s="1128"/>
      <c r="P18" s="654"/>
      <c r="Q18" s="1126"/>
      <c r="R18" s="1126"/>
    </row>
    <row r="19" spans="1:26" s="644" customFormat="1" ht="16.5" thickTop="1" thickBot="1">
      <c r="A19" s="673" t="s">
        <v>119</v>
      </c>
      <c r="B19" s="674">
        <f>SUM(B16:B18)</f>
        <v>0</v>
      </c>
      <c r="C19" s="674">
        <f>SUM(C16:C18)</f>
        <v>0</v>
      </c>
      <c r="D19" s="674">
        <f t="shared" ref="D19:M19" si="1">SUM(D16:D18)</f>
        <v>0</v>
      </c>
      <c r="E19" s="674">
        <f t="shared" si="1"/>
        <v>0</v>
      </c>
      <c r="F19" s="674">
        <f t="shared" si="1"/>
        <v>0</v>
      </c>
      <c r="G19" s="674">
        <f t="shared" si="1"/>
        <v>0</v>
      </c>
      <c r="H19" s="674">
        <f t="shared" si="1"/>
        <v>0</v>
      </c>
      <c r="I19" s="674">
        <f t="shared" si="1"/>
        <v>0</v>
      </c>
      <c r="J19" s="674">
        <f t="shared" si="1"/>
        <v>0</v>
      </c>
      <c r="K19" s="674">
        <f t="shared" si="1"/>
        <v>0</v>
      </c>
      <c r="L19" s="674">
        <f t="shared" si="1"/>
        <v>0</v>
      </c>
      <c r="M19" s="701">
        <f t="shared" si="1"/>
        <v>0</v>
      </c>
      <c r="N19" s="1118"/>
      <c r="O19" s="1119"/>
      <c r="P19" s="654"/>
      <c r="Q19" s="1120"/>
      <c r="R19" s="1120"/>
    </row>
    <row r="20" spans="1:26" s="644" customFormat="1" ht="15.75" thickTop="1">
      <c r="A20" s="697"/>
      <c r="B20" s="654"/>
      <c r="C20" s="654"/>
      <c r="D20" s="654"/>
      <c r="E20" s="654"/>
      <c r="F20" s="654"/>
      <c r="G20" s="654"/>
      <c r="H20" s="654"/>
      <c r="I20" s="654"/>
      <c r="J20" s="654"/>
      <c r="K20" s="654"/>
      <c r="L20" s="654"/>
      <c r="M20" s="654"/>
      <c r="N20" s="678"/>
      <c r="O20" s="678"/>
      <c r="P20" s="654"/>
      <c r="Q20" s="678"/>
      <c r="R20" s="678"/>
    </row>
    <row r="21" spans="1:26" s="681" customFormat="1">
      <c r="A21" s="682" t="s">
        <v>303</v>
      </c>
      <c r="B21" s="683"/>
      <c r="C21" s="683">
        <f>EF_CO2_aardgas</f>
        <v>0.20200000000000001</v>
      </c>
      <c r="D21" s="683">
        <f>EF_VLgas_CO2</f>
        <v>0.22700000000000001</v>
      </c>
      <c r="E21" s="683">
        <f>EF_stookolie_CO2</f>
        <v>0.26700000000000002</v>
      </c>
      <c r="F21" s="683">
        <f>EF_bruinkool_CO2</f>
        <v>0.35099999999999998</v>
      </c>
      <c r="G21" s="683">
        <f>EF_steenkool_CO2</f>
        <v>0.35399999999999998</v>
      </c>
      <c r="H21" s="683">
        <f>'EF brandstof'!M4</f>
        <v>0.33</v>
      </c>
      <c r="I21" s="683">
        <f>'EF brandstof'!J4</f>
        <v>0</v>
      </c>
      <c r="J21" s="683">
        <f>'EF brandstof'!L4</f>
        <v>0</v>
      </c>
      <c r="K21" s="683">
        <f>'EF brandstof'!L4</f>
        <v>0</v>
      </c>
      <c r="L21" s="683"/>
      <c r="M21" s="684"/>
      <c r="N21" s="684"/>
      <c r="O21" s="684"/>
      <c r="P21" s="684"/>
      <c r="Q21" s="644"/>
    </row>
    <row r="22" spans="1:26" s="681" customFormat="1">
      <c r="A22" s="685"/>
      <c r="B22" s="684"/>
      <c r="C22" s="684"/>
      <c r="D22" s="684"/>
      <c r="E22" s="684"/>
      <c r="F22" s="684"/>
      <c r="G22" s="684"/>
      <c r="H22" s="684"/>
      <c r="I22" s="684"/>
      <c r="J22" s="684"/>
      <c r="K22" s="684"/>
      <c r="L22" s="684"/>
      <c r="M22" s="684"/>
      <c r="N22" s="684"/>
      <c r="O22" s="684"/>
      <c r="P22" s="684"/>
      <c r="Q22" s="644"/>
    </row>
    <row r="23" spans="1:26" s="681" customFormat="1">
      <c r="A23" s="685"/>
      <c r="B23" s="684"/>
      <c r="C23" s="684"/>
      <c r="D23" s="702"/>
      <c r="E23" s="702"/>
      <c r="F23" s="702"/>
      <c r="G23" s="684"/>
      <c r="H23" s="684"/>
      <c r="I23" s="684"/>
      <c r="J23" s="684"/>
      <c r="K23" s="684"/>
      <c r="L23" s="684"/>
      <c r="M23" s="684"/>
      <c r="N23" s="684"/>
      <c r="O23" s="684"/>
      <c r="P23" s="684"/>
    </row>
    <row r="24" spans="1:26" s="681" customFormat="1">
      <c r="A24" s="685"/>
      <c r="B24" s="684"/>
      <c r="C24" s="684"/>
      <c r="D24" s="702"/>
      <c r="E24" s="702"/>
      <c r="F24" s="702"/>
      <c r="G24" s="684"/>
      <c r="H24" s="684"/>
      <c r="I24" s="684"/>
      <c r="J24" s="684"/>
      <c r="K24" s="684"/>
      <c r="L24" s="684"/>
      <c r="M24" s="684"/>
      <c r="N24" s="684"/>
      <c r="O24" s="684"/>
      <c r="P24" s="684"/>
    </row>
    <row r="25" spans="1:26" s="644" customFormat="1" ht="15.75" thickBot="1">
      <c r="B25" s="702"/>
      <c r="C25" s="702"/>
      <c r="D25" s="702"/>
      <c r="E25" s="702"/>
      <c r="F25" s="702"/>
      <c r="G25" s="702"/>
      <c r="H25" s="702"/>
      <c r="I25" s="702"/>
      <c r="J25" s="702"/>
      <c r="K25" s="702"/>
      <c r="L25" s="702"/>
      <c r="M25" s="702"/>
      <c r="N25" s="702"/>
      <c r="O25" s="703"/>
      <c r="P25" s="703"/>
    </row>
    <row r="26" spans="1:26" s="644" customFormat="1" ht="45">
      <c r="A26" s="704" t="s">
        <v>292</v>
      </c>
      <c r="B26" s="749" t="s">
        <v>93</v>
      </c>
      <c r="C26" s="749" t="s">
        <v>94</v>
      </c>
      <c r="D26" s="749" t="s">
        <v>95</v>
      </c>
      <c r="E26" s="749" t="s">
        <v>96</v>
      </c>
      <c r="F26" s="749" t="s">
        <v>97</v>
      </c>
      <c r="G26" s="749" t="s">
        <v>98</v>
      </c>
      <c r="H26" s="749" t="s">
        <v>99</v>
      </c>
      <c r="I26" s="749" t="s">
        <v>100</v>
      </c>
      <c r="J26" s="749" t="s">
        <v>101</v>
      </c>
      <c r="K26" s="749" t="s">
        <v>102</v>
      </c>
      <c r="L26" s="749" t="s">
        <v>103</v>
      </c>
      <c r="M26" s="750" t="s">
        <v>311</v>
      </c>
      <c r="N26" s="750" t="s">
        <v>104</v>
      </c>
      <c r="O26" s="750" t="s">
        <v>105</v>
      </c>
      <c r="P26" s="750" t="s">
        <v>635</v>
      </c>
      <c r="Q26" s="750" t="s">
        <v>106</v>
      </c>
      <c r="R26" s="750" t="s">
        <v>107</v>
      </c>
      <c r="S26" s="750" t="s">
        <v>108</v>
      </c>
      <c r="T26" s="750" t="s">
        <v>109</v>
      </c>
      <c r="U26" s="750" t="s">
        <v>110</v>
      </c>
      <c r="V26" s="750" t="s">
        <v>111</v>
      </c>
      <c r="W26" s="749" t="s">
        <v>112</v>
      </c>
      <c r="X26" s="749" t="s">
        <v>312</v>
      </c>
      <c r="Y26" s="749" t="s">
        <v>113</v>
      </c>
      <c r="Z26" s="751" t="s">
        <v>313</v>
      </c>
    </row>
    <row r="27" spans="1:26" s="706" customFormat="1" ht="12.75">
      <c r="A27" s="705"/>
      <c r="B27" s="968"/>
      <c r="C27" s="968"/>
      <c r="D27" s="753"/>
      <c r="E27" s="752"/>
      <c r="F27" s="752"/>
      <c r="G27" s="752"/>
      <c r="H27" s="752"/>
      <c r="I27" s="752"/>
      <c r="J27" s="967"/>
      <c r="K27" s="967"/>
      <c r="L27" s="752"/>
      <c r="M27" s="752"/>
      <c r="N27" s="752"/>
      <c r="O27" s="752"/>
      <c r="P27" s="752"/>
      <c r="Q27" s="752"/>
      <c r="R27" s="752"/>
      <c r="S27" s="752"/>
      <c r="T27" s="752"/>
      <c r="U27" s="752"/>
      <c r="V27" s="752"/>
      <c r="W27" s="752"/>
      <c r="X27" s="752"/>
      <c r="Y27" s="752"/>
      <c r="Z27" s="754"/>
    </row>
    <row r="28" spans="1:26" s="706" customFormat="1" ht="12.75">
      <c r="A28" s="705"/>
      <c r="B28" s="968"/>
      <c r="C28" s="968"/>
      <c r="D28" s="753"/>
      <c r="E28" s="752"/>
      <c r="F28" s="752"/>
      <c r="G28" s="752"/>
      <c r="H28" s="752"/>
      <c r="I28" s="752"/>
      <c r="J28" s="967"/>
      <c r="K28" s="967"/>
      <c r="L28" s="752"/>
      <c r="M28" s="752"/>
      <c r="N28" s="752"/>
      <c r="O28" s="752"/>
      <c r="P28" s="752"/>
      <c r="Q28" s="752"/>
      <c r="R28" s="752"/>
      <c r="S28" s="752"/>
      <c r="T28" s="752"/>
      <c r="U28" s="752"/>
      <c r="V28" s="752"/>
      <c r="W28" s="752"/>
      <c r="X28" s="752"/>
      <c r="Y28" s="752"/>
      <c r="Z28" s="754"/>
    </row>
    <row r="29" spans="1:26" s="706" customFormat="1" ht="12.75">
      <c r="A29" s="705"/>
      <c r="B29" s="968"/>
      <c r="C29" s="968"/>
      <c r="D29" s="753"/>
      <c r="E29" s="752"/>
      <c r="F29" s="752"/>
      <c r="G29" s="752"/>
      <c r="H29" s="752"/>
      <c r="I29" s="752"/>
      <c r="J29" s="967"/>
      <c r="K29" s="967"/>
      <c r="L29" s="752"/>
      <c r="M29" s="752"/>
      <c r="N29" s="752"/>
      <c r="O29" s="752"/>
      <c r="P29" s="752"/>
      <c r="Q29" s="752"/>
      <c r="R29" s="752"/>
      <c r="S29" s="752"/>
      <c r="T29" s="752"/>
      <c r="U29" s="752"/>
      <c r="V29" s="752"/>
      <c r="W29" s="752"/>
      <c r="X29" s="752"/>
      <c r="Y29" s="752"/>
      <c r="Z29" s="754"/>
    </row>
    <row r="30" spans="1:26" s="706" customFormat="1" ht="12.75">
      <c r="A30" s="705"/>
      <c r="B30" s="968"/>
      <c r="C30" s="968"/>
      <c r="D30" s="753"/>
      <c r="E30" s="752"/>
      <c r="F30" s="752"/>
      <c r="G30" s="752"/>
      <c r="H30" s="752"/>
      <c r="I30" s="752"/>
      <c r="J30" s="967"/>
      <c r="K30" s="967"/>
      <c r="L30" s="752"/>
      <c r="M30" s="752"/>
      <c r="N30" s="752"/>
      <c r="O30" s="752"/>
      <c r="P30" s="752"/>
      <c r="Q30" s="752"/>
      <c r="R30" s="752"/>
      <c r="S30" s="752"/>
      <c r="T30" s="752"/>
      <c r="U30" s="752"/>
      <c r="V30" s="752"/>
      <c r="W30" s="752"/>
      <c r="X30" s="752"/>
      <c r="Y30" s="752"/>
      <c r="Z30" s="754"/>
    </row>
    <row r="31" spans="1:26" s="706" customFormat="1" ht="12.75">
      <c r="A31" s="705"/>
      <c r="B31" s="968"/>
      <c r="C31" s="968"/>
      <c r="D31" s="753"/>
      <c r="E31" s="752"/>
      <c r="F31" s="752"/>
      <c r="G31" s="752"/>
      <c r="H31" s="752"/>
      <c r="I31" s="752"/>
      <c r="J31" s="967"/>
      <c r="K31" s="967"/>
      <c r="L31" s="752"/>
      <c r="M31" s="752"/>
      <c r="N31" s="752"/>
      <c r="O31" s="752"/>
      <c r="P31" s="752"/>
      <c r="Q31" s="752"/>
      <c r="R31" s="752"/>
      <c r="S31" s="752"/>
      <c r="T31" s="752"/>
      <c r="U31" s="752"/>
      <c r="V31" s="752"/>
      <c r="W31" s="752"/>
      <c r="X31" s="752"/>
      <c r="Y31" s="752"/>
      <c r="Z31" s="754"/>
    </row>
    <row r="32" spans="1:26" s="706" customFormat="1" ht="12.75">
      <c r="A32" s="705"/>
      <c r="B32" s="968"/>
      <c r="C32" s="968"/>
      <c r="D32" s="753"/>
      <c r="E32" s="752"/>
      <c r="F32" s="752"/>
      <c r="G32" s="752"/>
      <c r="H32" s="752"/>
      <c r="I32" s="752"/>
      <c r="J32" s="967"/>
      <c r="K32" s="967"/>
      <c r="L32" s="752"/>
      <c r="M32" s="752"/>
      <c r="N32" s="752"/>
      <c r="O32" s="752"/>
      <c r="P32" s="752"/>
      <c r="Q32" s="752"/>
      <c r="R32" s="752"/>
      <c r="S32" s="752"/>
      <c r="T32" s="752"/>
      <c r="U32" s="752"/>
      <c r="V32" s="752"/>
      <c r="W32" s="752"/>
      <c r="X32" s="752"/>
      <c r="Y32" s="752"/>
      <c r="Z32" s="754"/>
    </row>
    <row r="33" spans="1:26" s="706" customFormat="1" ht="12.75">
      <c r="A33" s="705"/>
      <c r="B33" s="968"/>
      <c r="C33" s="968"/>
      <c r="D33" s="753"/>
      <c r="E33" s="752"/>
      <c r="F33" s="752"/>
      <c r="G33" s="752"/>
      <c r="H33" s="752"/>
      <c r="I33" s="752"/>
      <c r="J33" s="967"/>
      <c r="K33" s="967"/>
      <c r="L33" s="752"/>
      <c r="M33" s="752"/>
      <c r="N33" s="752"/>
      <c r="O33" s="752"/>
      <c r="P33" s="752"/>
      <c r="Q33" s="752"/>
      <c r="R33" s="752"/>
      <c r="S33" s="752"/>
      <c r="T33" s="752"/>
      <c r="U33" s="752"/>
      <c r="V33" s="752"/>
      <c r="W33" s="752"/>
      <c r="X33" s="752"/>
      <c r="Y33" s="752"/>
      <c r="Z33" s="754"/>
    </row>
    <row r="34" spans="1:26" s="706" customFormat="1" ht="12.75">
      <c r="A34" s="705"/>
      <c r="B34" s="968"/>
      <c r="C34" s="968"/>
      <c r="D34" s="753"/>
      <c r="E34" s="752"/>
      <c r="F34" s="752"/>
      <c r="G34" s="752"/>
      <c r="H34" s="752"/>
      <c r="I34" s="752"/>
      <c r="J34" s="967"/>
      <c r="K34" s="967"/>
      <c r="L34" s="752"/>
      <c r="M34" s="752"/>
      <c r="N34" s="752"/>
      <c r="O34" s="752"/>
      <c r="P34" s="752"/>
      <c r="Q34" s="752"/>
      <c r="R34" s="752"/>
      <c r="S34" s="752"/>
      <c r="T34" s="752"/>
      <c r="U34" s="752"/>
      <c r="V34" s="752"/>
      <c r="W34" s="752"/>
      <c r="X34" s="752"/>
      <c r="Y34" s="752"/>
      <c r="Z34" s="754"/>
    </row>
    <row r="35" spans="1:26" s="706" customFormat="1" ht="12.75">
      <c r="A35" s="705"/>
      <c r="B35" s="968"/>
      <c r="C35" s="968"/>
      <c r="D35" s="753"/>
      <c r="E35" s="752"/>
      <c r="F35" s="752"/>
      <c r="G35" s="752"/>
      <c r="H35" s="752"/>
      <c r="I35" s="752"/>
      <c r="J35" s="967"/>
      <c r="K35" s="967"/>
      <c r="L35" s="752"/>
      <c r="M35" s="752"/>
      <c r="N35" s="752"/>
      <c r="O35" s="752"/>
      <c r="P35" s="752"/>
      <c r="Q35" s="752"/>
      <c r="R35" s="752"/>
      <c r="S35" s="752"/>
      <c r="T35" s="752"/>
      <c r="U35" s="752"/>
      <c r="V35" s="752"/>
      <c r="W35" s="752"/>
      <c r="X35" s="752"/>
      <c r="Y35" s="752"/>
      <c r="Z35" s="754"/>
    </row>
    <row r="36" spans="1:26" s="706" customFormat="1" ht="12.75">
      <c r="A36" s="705"/>
      <c r="B36" s="968"/>
      <c r="C36" s="968"/>
      <c r="D36" s="753"/>
      <c r="E36" s="752"/>
      <c r="F36" s="752"/>
      <c r="G36" s="752"/>
      <c r="H36" s="752"/>
      <c r="I36" s="752"/>
      <c r="J36" s="967"/>
      <c r="K36" s="967"/>
      <c r="L36" s="752"/>
      <c r="M36" s="752"/>
      <c r="N36" s="752"/>
      <c r="O36" s="752"/>
      <c r="P36" s="752"/>
      <c r="Q36" s="752"/>
      <c r="R36" s="752"/>
      <c r="S36" s="752"/>
      <c r="T36" s="752"/>
      <c r="U36" s="752"/>
      <c r="V36" s="752"/>
      <c r="W36" s="752"/>
      <c r="X36" s="752"/>
      <c r="Y36" s="752"/>
      <c r="Z36" s="754"/>
    </row>
    <row r="37" spans="1:26" s="706" customFormat="1" ht="12.75">
      <c r="A37" s="705"/>
      <c r="B37" s="968"/>
      <c r="C37" s="968"/>
      <c r="D37" s="753"/>
      <c r="E37" s="752"/>
      <c r="F37" s="752"/>
      <c r="G37" s="752"/>
      <c r="H37" s="752"/>
      <c r="I37" s="752"/>
      <c r="J37" s="967"/>
      <c r="K37" s="967"/>
      <c r="L37" s="752"/>
      <c r="M37" s="752"/>
      <c r="N37" s="752"/>
      <c r="O37" s="752"/>
      <c r="P37" s="752"/>
      <c r="Q37" s="752"/>
      <c r="R37" s="752"/>
      <c r="S37" s="752"/>
      <c r="T37" s="752"/>
      <c r="U37" s="752"/>
      <c r="V37" s="752"/>
      <c r="W37" s="752"/>
      <c r="X37" s="752"/>
      <c r="Y37" s="752"/>
      <c r="Z37" s="754"/>
    </row>
    <row r="38" spans="1:26" s="706" customFormat="1" ht="12.75">
      <c r="A38" s="705"/>
      <c r="B38" s="968"/>
      <c r="C38" s="968"/>
      <c r="D38" s="753"/>
      <c r="E38" s="752"/>
      <c r="F38" s="752"/>
      <c r="G38" s="752"/>
      <c r="H38" s="752"/>
      <c r="I38" s="752"/>
      <c r="J38" s="967"/>
      <c r="K38" s="967"/>
      <c r="L38" s="752"/>
      <c r="M38" s="752"/>
      <c r="N38" s="752"/>
      <c r="O38" s="752"/>
      <c r="P38" s="752"/>
      <c r="Q38" s="752"/>
      <c r="R38" s="752"/>
      <c r="S38" s="752"/>
      <c r="T38" s="752"/>
      <c r="U38" s="752"/>
      <c r="V38" s="752"/>
      <c r="W38" s="752"/>
      <c r="X38" s="752"/>
      <c r="Y38" s="752"/>
      <c r="Z38" s="754"/>
    </row>
    <row r="39" spans="1:26" s="706" customFormat="1" ht="12.75">
      <c r="A39" s="705"/>
      <c r="B39" s="968"/>
      <c r="C39" s="968"/>
      <c r="D39" s="753"/>
      <c r="E39" s="752"/>
      <c r="F39" s="752"/>
      <c r="G39" s="752"/>
      <c r="H39" s="752"/>
      <c r="I39" s="752"/>
      <c r="J39" s="967"/>
      <c r="K39" s="967"/>
      <c r="L39" s="752"/>
      <c r="M39" s="752"/>
      <c r="N39" s="752"/>
      <c r="O39" s="752"/>
      <c r="P39" s="752"/>
      <c r="Q39" s="752"/>
      <c r="R39" s="752"/>
      <c r="S39" s="752"/>
      <c r="T39" s="752"/>
      <c r="U39" s="752"/>
      <c r="V39" s="752"/>
      <c r="W39" s="752"/>
      <c r="X39" s="752"/>
      <c r="Y39" s="752"/>
      <c r="Z39" s="754"/>
    </row>
    <row r="40" spans="1:26" s="706" customFormat="1" ht="12.75">
      <c r="A40" s="705"/>
      <c r="B40" s="968"/>
      <c r="C40" s="968"/>
      <c r="D40" s="753"/>
      <c r="E40" s="752"/>
      <c r="F40" s="752"/>
      <c r="G40" s="752"/>
      <c r="H40" s="752"/>
      <c r="I40" s="752"/>
      <c r="J40" s="967"/>
      <c r="K40" s="967"/>
      <c r="L40" s="752"/>
      <c r="M40" s="752"/>
      <c r="N40" s="752"/>
      <c r="O40" s="752"/>
      <c r="P40" s="752"/>
      <c r="Q40" s="752"/>
      <c r="R40" s="752"/>
      <c r="S40" s="752"/>
      <c r="T40" s="752"/>
      <c r="U40" s="752"/>
      <c r="V40" s="752"/>
      <c r="W40" s="752"/>
      <c r="X40" s="752"/>
      <c r="Y40" s="752"/>
      <c r="Z40" s="754"/>
    </row>
    <row r="41" spans="1:26" s="706" customFormat="1" ht="12.75">
      <c r="A41" s="705"/>
      <c r="B41" s="968"/>
      <c r="C41" s="968"/>
      <c r="D41" s="753"/>
      <c r="E41" s="752"/>
      <c r="F41" s="752"/>
      <c r="G41" s="752"/>
      <c r="H41" s="752"/>
      <c r="I41" s="752"/>
      <c r="J41" s="967"/>
      <c r="K41" s="967"/>
      <c r="L41" s="752"/>
      <c r="M41" s="752"/>
      <c r="N41" s="752"/>
      <c r="O41" s="752"/>
      <c r="P41" s="752"/>
      <c r="Q41" s="752"/>
      <c r="R41" s="752"/>
      <c r="S41" s="752"/>
      <c r="T41" s="752"/>
      <c r="U41" s="752"/>
      <c r="V41" s="752"/>
      <c r="W41" s="752"/>
      <c r="X41" s="752"/>
      <c r="Y41" s="752"/>
      <c r="Z41" s="754"/>
    </row>
    <row r="42" spans="1:26" s="706" customFormat="1" ht="12.75">
      <c r="A42" s="705"/>
      <c r="B42" s="968"/>
      <c r="C42" s="968"/>
      <c r="D42" s="753"/>
      <c r="E42" s="752"/>
      <c r="F42" s="752"/>
      <c r="G42" s="752"/>
      <c r="H42" s="752"/>
      <c r="I42" s="752"/>
      <c r="J42" s="967"/>
      <c r="K42" s="967"/>
      <c r="L42" s="752"/>
      <c r="M42" s="752"/>
      <c r="N42" s="752"/>
      <c r="O42" s="752"/>
      <c r="P42" s="752"/>
      <c r="Q42" s="752"/>
      <c r="R42" s="752"/>
      <c r="S42" s="752"/>
      <c r="T42" s="752"/>
      <c r="U42" s="752"/>
      <c r="V42" s="752"/>
      <c r="W42" s="752"/>
      <c r="X42" s="752"/>
      <c r="Y42" s="752"/>
      <c r="Z42" s="754"/>
    </row>
    <row r="43" spans="1:26" s="706" customFormat="1" ht="12.75">
      <c r="A43" s="705"/>
      <c r="B43" s="968"/>
      <c r="C43" s="968"/>
      <c r="D43" s="753"/>
      <c r="E43" s="752"/>
      <c r="F43" s="752"/>
      <c r="G43" s="752"/>
      <c r="H43" s="752"/>
      <c r="I43" s="752"/>
      <c r="J43" s="967"/>
      <c r="K43" s="967"/>
      <c r="L43" s="752"/>
      <c r="M43" s="752"/>
      <c r="N43" s="752"/>
      <c r="O43" s="752"/>
      <c r="P43" s="752"/>
      <c r="Q43" s="752"/>
      <c r="R43" s="752"/>
      <c r="S43" s="752"/>
      <c r="T43" s="752"/>
      <c r="U43" s="752"/>
      <c r="V43" s="752"/>
      <c r="W43" s="752"/>
      <c r="X43" s="752"/>
      <c r="Y43" s="752"/>
      <c r="Z43" s="754"/>
    </row>
    <row r="44" spans="1:26" s="706" customFormat="1" ht="12.75">
      <c r="A44" s="705"/>
      <c r="B44" s="968"/>
      <c r="C44" s="968"/>
      <c r="D44" s="753"/>
      <c r="E44" s="752"/>
      <c r="F44" s="752"/>
      <c r="G44" s="752"/>
      <c r="H44" s="752"/>
      <c r="I44" s="752"/>
      <c r="J44" s="967"/>
      <c r="K44" s="967"/>
      <c r="L44" s="752"/>
      <c r="M44" s="752"/>
      <c r="N44" s="752"/>
      <c r="O44" s="752"/>
      <c r="P44" s="752"/>
      <c r="Q44" s="752"/>
      <c r="R44" s="752"/>
      <c r="S44" s="752"/>
      <c r="T44" s="752"/>
      <c r="U44" s="752"/>
      <c r="V44" s="752"/>
      <c r="W44" s="752"/>
      <c r="X44" s="752"/>
      <c r="Y44" s="752"/>
      <c r="Z44" s="754"/>
    </row>
    <row r="45" spans="1:26" s="706" customFormat="1" ht="12.75">
      <c r="A45" s="705"/>
      <c r="B45" s="968"/>
      <c r="C45" s="968"/>
      <c r="D45" s="753"/>
      <c r="E45" s="752"/>
      <c r="F45" s="752"/>
      <c r="G45" s="752"/>
      <c r="H45" s="752"/>
      <c r="I45" s="752"/>
      <c r="J45" s="967"/>
      <c r="K45" s="967"/>
      <c r="L45" s="752"/>
      <c r="M45" s="752"/>
      <c r="N45" s="752"/>
      <c r="O45" s="752"/>
      <c r="P45" s="752"/>
      <c r="Q45" s="752"/>
      <c r="R45" s="752"/>
      <c r="S45" s="752"/>
      <c r="T45" s="752"/>
      <c r="U45" s="752"/>
      <c r="V45" s="752"/>
      <c r="W45" s="752"/>
      <c r="X45" s="752"/>
      <c r="Y45" s="752"/>
      <c r="Z45" s="754"/>
    </row>
    <row r="46" spans="1:26" s="706" customFormat="1" ht="12.75">
      <c r="A46" s="705"/>
      <c r="B46" s="968"/>
      <c r="C46" s="968"/>
      <c r="D46" s="753"/>
      <c r="E46" s="752"/>
      <c r="F46" s="752"/>
      <c r="G46" s="752"/>
      <c r="H46" s="752"/>
      <c r="I46" s="752"/>
      <c r="J46" s="967"/>
      <c r="K46" s="967"/>
      <c r="L46" s="752"/>
      <c r="M46" s="752"/>
      <c r="N46" s="752"/>
      <c r="O46" s="752"/>
      <c r="P46" s="752"/>
      <c r="Q46" s="752"/>
      <c r="R46" s="752"/>
      <c r="S46" s="752"/>
      <c r="T46" s="752"/>
      <c r="U46" s="752"/>
      <c r="V46" s="752"/>
      <c r="W46" s="752"/>
      <c r="X46" s="752"/>
      <c r="Y46" s="752"/>
      <c r="Z46" s="754"/>
    </row>
    <row r="47" spans="1:26" s="706" customFormat="1" ht="12.75">
      <c r="A47" s="705"/>
      <c r="B47" s="968"/>
      <c r="C47" s="968"/>
      <c r="D47" s="753"/>
      <c r="E47" s="752"/>
      <c r="F47" s="752"/>
      <c r="G47" s="752"/>
      <c r="H47" s="752"/>
      <c r="I47" s="752"/>
      <c r="J47" s="967"/>
      <c r="K47" s="967"/>
      <c r="L47" s="752"/>
      <c r="M47" s="752"/>
      <c r="N47" s="752"/>
      <c r="O47" s="752"/>
      <c r="P47" s="752"/>
      <c r="Q47" s="752"/>
      <c r="R47" s="752"/>
      <c r="S47" s="752"/>
      <c r="T47" s="752"/>
      <c r="U47" s="752"/>
      <c r="V47" s="752"/>
      <c r="W47" s="752"/>
      <c r="X47" s="752"/>
      <c r="Y47" s="752"/>
      <c r="Z47" s="754"/>
    </row>
    <row r="48" spans="1:26" s="706" customFormat="1" ht="12.75">
      <c r="A48" s="705"/>
      <c r="B48" s="968"/>
      <c r="C48" s="968"/>
      <c r="D48" s="753"/>
      <c r="E48" s="752"/>
      <c r="F48" s="752"/>
      <c r="G48" s="752"/>
      <c r="H48" s="752"/>
      <c r="I48" s="752"/>
      <c r="J48" s="967"/>
      <c r="K48" s="967"/>
      <c r="L48" s="752"/>
      <c r="M48" s="752"/>
      <c r="N48" s="752"/>
      <c r="O48" s="752"/>
      <c r="P48" s="752"/>
      <c r="Q48" s="752"/>
      <c r="R48" s="752"/>
      <c r="S48" s="752"/>
      <c r="T48" s="752"/>
      <c r="U48" s="752"/>
      <c r="V48" s="752"/>
      <c r="W48" s="752"/>
      <c r="X48" s="752"/>
      <c r="Y48" s="752"/>
      <c r="Z48" s="754"/>
    </row>
    <row r="49" spans="1:26" s="706" customFormat="1" ht="12.75">
      <c r="A49" s="705"/>
      <c r="B49" s="968"/>
      <c r="C49" s="968"/>
      <c r="D49" s="753"/>
      <c r="E49" s="752"/>
      <c r="F49" s="752"/>
      <c r="G49" s="752"/>
      <c r="H49" s="752"/>
      <c r="I49" s="752"/>
      <c r="J49" s="967"/>
      <c r="K49" s="967"/>
      <c r="L49" s="752"/>
      <c r="M49" s="752"/>
      <c r="N49" s="752"/>
      <c r="O49" s="752"/>
      <c r="P49" s="752"/>
      <c r="Q49" s="752"/>
      <c r="R49" s="752"/>
      <c r="S49" s="752"/>
      <c r="T49" s="752"/>
      <c r="U49" s="752"/>
      <c r="V49" s="752"/>
      <c r="W49" s="752"/>
      <c r="X49" s="752"/>
      <c r="Y49" s="752"/>
      <c r="Z49" s="754"/>
    </row>
    <row r="50" spans="1:26" s="706" customFormat="1" ht="12.75">
      <c r="A50" s="707"/>
      <c r="B50" s="968"/>
      <c r="C50" s="968"/>
      <c r="D50" s="753"/>
      <c r="E50" s="752"/>
      <c r="F50" s="752"/>
      <c r="G50" s="752"/>
      <c r="H50" s="752"/>
      <c r="I50" s="752"/>
      <c r="J50" s="967"/>
      <c r="K50" s="967"/>
      <c r="L50" s="752"/>
      <c r="M50" s="752"/>
      <c r="N50" s="752"/>
      <c r="O50" s="752"/>
      <c r="P50" s="752"/>
      <c r="Q50" s="752"/>
      <c r="R50" s="752"/>
      <c r="S50" s="752"/>
      <c r="T50" s="752"/>
      <c r="U50" s="752"/>
      <c r="V50" s="752"/>
      <c r="W50" s="752"/>
      <c r="X50" s="752"/>
      <c r="Y50" s="752"/>
      <c r="Z50" s="754"/>
    </row>
    <row r="51" spans="1:26" s="706" customFormat="1" ht="12.75">
      <c r="A51" s="707"/>
      <c r="B51" s="968"/>
      <c r="C51" s="968"/>
      <c r="D51" s="752"/>
      <c r="E51" s="752"/>
      <c r="F51" s="752"/>
      <c r="G51" s="752"/>
      <c r="H51" s="752"/>
      <c r="I51" s="752"/>
      <c r="J51" s="967"/>
      <c r="K51" s="967"/>
      <c r="L51" s="752"/>
      <c r="M51" s="752"/>
      <c r="N51" s="752"/>
      <c r="O51" s="752"/>
      <c r="P51" s="752"/>
      <c r="Q51" s="752"/>
      <c r="R51" s="752"/>
      <c r="S51" s="752"/>
      <c r="T51" s="752"/>
      <c r="U51" s="752"/>
      <c r="V51" s="752"/>
      <c r="W51" s="752"/>
      <c r="X51" s="752"/>
      <c r="Y51" s="752"/>
      <c r="Z51" s="754"/>
    </row>
    <row r="52" spans="1:26" s="706" customFormat="1" ht="12.75">
      <c r="A52" s="707"/>
      <c r="B52" s="968"/>
      <c r="C52" s="968"/>
      <c r="D52" s="752"/>
      <c r="E52" s="752"/>
      <c r="F52" s="752"/>
      <c r="G52" s="752"/>
      <c r="H52" s="752"/>
      <c r="I52" s="752"/>
      <c r="J52" s="967"/>
      <c r="K52" s="967"/>
      <c r="L52" s="752"/>
      <c r="M52" s="752"/>
      <c r="N52" s="752"/>
      <c r="O52" s="752"/>
      <c r="P52" s="752"/>
      <c r="Q52" s="752"/>
      <c r="R52" s="752"/>
      <c r="S52" s="752"/>
      <c r="T52" s="752"/>
      <c r="U52" s="752"/>
      <c r="V52" s="752"/>
      <c r="W52" s="752"/>
      <c r="X52" s="752"/>
      <c r="Y52" s="752"/>
      <c r="Z52" s="754"/>
    </row>
    <row r="53" spans="1:26" s="706" customFormat="1" ht="12.75">
      <c r="A53" s="707"/>
      <c r="B53" s="968"/>
      <c r="C53" s="968"/>
      <c r="D53" s="752"/>
      <c r="E53" s="752"/>
      <c r="F53" s="752"/>
      <c r="G53" s="752"/>
      <c r="H53" s="752"/>
      <c r="I53" s="752"/>
      <c r="J53" s="967"/>
      <c r="K53" s="967"/>
      <c r="L53" s="752"/>
      <c r="M53" s="752"/>
      <c r="N53" s="752"/>
      <c r="O53" s="752"/>
      <c r="P53" s="752"/>
      <c r="Q53" s="752"/>
      <c r="R53" s="752"/>
      <c r="S53" s="752"/>
      <c r="T53" s="752"/>
      <c r="U53" s="752"/>
      <c r="V53" s="752"/>
      <c r="W53" s="752"/>
      <c r="X53" s="752"/>
      <c r="Y53" s="752"/>
      <c r="Z53" s="754"/>
    </row>
    <row r="54" spans="1:26" s="706" customFormat="1" ht="12.75">
      <c r="A54" s="707"/>
      <c r="B54" s="968"/>
      <c r="C54" s="968"/>
      <c r="D54" s="752"/>
      <c r="E54" s="752"/>
      <c r="F54" s="752"/>
      <c r="G54" s="752"/>
      <c r="H54" s="752"/>
      <c r="I54" s="752"/>
      <c r="J54" s="967"/>
      <c r="K54" s="967"/>
      <c r="L54" s="752"/>
      <c r="M54" s="752"/>
      <c r="N54" s="752"/>
      <c r="O54" s="752"/>
      <c r="P54" s="752"/>
      <c r="Q54" s="752"/>
      <c r="R54" s="752"/>
      <c r="S54" s="752"/>
      <c r="T54" s="752"/>
      <c r="U54" s="752"/>
      <c r="V54" s="752"/>
      <c r="W54" s="752"/>
      <c r="X54" s="752"/>
      <c r="Y54" s="752"/>
      <c r="Z54" s="754"/>
    </row>
    <row r="55" spans="1:26" s="706" customFormat="1" ht="12.75">
      <c r="A55" s="707"/>
      <c r="B55" s="968"/>
      <c r="C55" s="968"/>
      <c r="D55" s="752"/>
      <c r="E55" s="752"/>
      <c r="F55" s="752"/>
      <c r="G55" s="752"/>
      <c r="H55" s="752"/>
      <c r="I55" s="752"/>
      <c r="J55" s="967"/>
      <c r="K55" s="967"/>
      <c r="L55" s="752"/>
      <c r="M55" s="752"/>
      <c r="N55" s="752"/>
      <c r="O55" s="752"/>
      <c r="P55" s="752"/>
      <c r="Q55" s="752"/>
      <c r="R55" s="752"/>
      <c r="S55" s="752"/>
      <c r="T55" s="752"/>
      <c r="U55" s="752"/>
      <c r="V55" s="752"/>
      <c r="W55" s="752"/>
      <c r="X55" s="752"/>
      <c r="Y55" s="752"/>
      <c r="Z55" s="754"/>
    </row>
    <row r="56" spans="1:26" s="706" customFormat="1" ht="12.75">
      <c r="A56" s="707"/>
      <c r="B56" s="968"/>
      <c r="C56" s="968"/>
      <c r="D56" s="752"/>
      <c r="E56" s="752"/>
      <c r="F56" s="752"/>
      <c r="G56" s="752"/>
      <c r="H56" s="752"/>
      <c r="I56" s="752"/>
      <c r="J56" s="967"/>
      <c r="K56" s="967"/>
      <c r="L56" s="752"/>
      <c r="M56" s="752"/>
      <c r="N56" s="752"/>
      <c r="O56" s="752"/>
      <c r="P56" s="752"/>
      <c r="Q56" s="752"/>
      <c r="R56" s="752"/>
      <c r="S56" s="752"/>
      <c r="T56" s="752"/>
      <c r="U56" s="752"/>
      <c r="V56" s="752"/>
      <c r="W56" s="752"/>
      <c r="X56" s="752"/>
      <c r="Y56" s="752"/>
      <c r="Z56" s="754"/>
    </row>
    <row r="57" spans="1:26" s="685" customFormat="1">
      <c r="A57" s="708" t="s">
        <v>293</v>
      </c>
      <c r="B57" s="709"/>
      <c r="C57" s="709"/>
      <c r="D57" s="709"/>
      <c r="E57" s="709"/>
      <c r="F57" s="709"/>
      <c r="G57" s="709"/>
      <c r="H57" s="709"/>
      <c r="I57" s="709"/>
      <c r="J57" s="709"/>
      <c r="K57" s="709"/>
      <c r="L57" s="710"/>
      <c r="M57" s="710">
        <f>SUM(M27:M56)</f>
        <v>0</v>
      </c>
      <c r="N57" s="710">
        <f>SUM(N27:N56)</f>
        <v>0</v>
      </c>
      <c r="O57" s="710">
        <f t="shared" ref="O57:W57" si="2">SUM(O27:O56)</f>
        <v>0</v>
      </c>
      <c r="P57" s="710">
        <f t="shared" si="2"/>
        <v>0</v>
      </c>
      <c r="Q57" s="710">
        <f t="shared" si="2"/>
        <v>0</v>
      </c>
      <c r="R57" s="710">
        <f t="shared" si="2"/>
        <v>0</v>
      </c>
      <c r="S57" s="710">
        <f t="shared" si="2"/>
        <v>0</v>
      </c>
      <c r="T57" s="710">
        <f t="shared" si="2"/>
        <v>0</v>
      </c>
      <c r="U57" s="710">
        <f t="shared" si="2"/>
        <v>0</v>
      </c>
      <c r="V57" s="710">
        <f t="shared" si="2"/>
        <v>0</v>
      </c>
      <c r="W57" s="710">
        <f t="shared" si="2"/>
        <v>0</v>
      </c>
      <c r="X57" s="711"/>
      <c r="Y57" s="711"/>
      <c r="Z57" s="712"/>
    </row>
    <row r="58" spans="1:26" s="685" customFormat="1">
      <c r="A58" s="708" t="s">
        <v>300</v>
      </c>
      <c r="B58" s="709"/>
      <c r="C58" s="709"/>
      <c r="D58" s="709"/>
      <c r="E58" s="709"/>
      <c r="F58" s="709"/>
      <c r="G58" s="709"/>
      <c r="H58" s="709"/>
      <c r="I58" s="709"/>
      <c r="J58" s="709"/>
      <c r="K58" s="709"/>
      <c r="L58" s="710"/>
      <c r="M58" s="710">
        <f>SUMIF($Z$27:$Z$56,"industrie",M27:M56)</f>
        <v>0</v>
      </c>
      <c r="N58" s="710">
        <f t="shared" ref="N58:W58" si="3">SUMIF($Z$27:$Z$56,"industrie",N27:N56)</f>
        <v>0</v>
      </c>
      <c r="O58" s="710">
        <f t="shared" si="3"/>
        <v>0</v>
      </c>
      <c r="P58" s="710">
        <f t="shared" si="3"/>
        <v>0</v>
      </c>
      <c r="Q58" s="710">
        <f t="shared" si="3"/>
        <v>0</v>
      </c>
      <c r="R58" s="710">
        <f t="shared" si="3"/>
        <v>0</v>
      </c>
      <c r="S58" s="710">
        <f t="shared" si="3"/>
        <v>0</v>
      </c>
      <c r="T58" s="710">
        <f t="shared" si="3"/>
        <v>0</v>
      </c>
      <c r="U58" s="710">
        <f t="shared" si="3"/>
        <v>0</v>
      </c>
      <c r="V58" s="710">
        <f t="shared" si="3"/>
        <v>0</v>
      </c>
      <c r="W58" s="710">
        <f t="shared" si="3"/>
        <v>0</v>
      </c>
      <c r="X58" s="711"/>
      <c r="Y58" s="711"/>
      <c r="Z58" s="712"/>
    </row>
    <row r="59" spans="1:26" s="685" customFormat="1">
      <c r="A59" s="708" t="s">
        <v>301</v>
      </c>
      <c r="B59" s="709"/>
      <c r="C59" s="709"/>
      <c r="D59" s="709"/>
      <c r="E59" s="709"/>
      <c r="F59" s="709"/>
      <c r="G59" s="709"/>
      <c r="H59" s="709"/>
      <c r="I59" s="709"/>
      <c r="J59" s="709"/>
      <c r="K59" s="709"/>
      <c r="L59" s="710"/>
      <c r="M59" s="710">
        <f ca="1">SUMIF($Z$27:AA56,"tertiair",M27:M56)</f>
        <v>0</v>
      </c>
      <c r="N59" s="710">
        <f ca="1">SUMIF($Z$27:AB56,"tertiair",N27:N56)</f>
        <v>0</v>
      </c>
      <c r="O59" s="710">
        <f ca="1">SUMIF($Z$27:AC56,"tertiair",O27:O56)</f>
        <v>0</v>
      </c>
      <c r="P59" s="710">
        <f ca="1">SUMIF($Z$27:AD56,"tertiair",P27:P56)</f>
        <v>0</v>
      </c>
      <c r="Q59" s="710">
        <f ca="1">SUMIF($Z$27:AE56,"tertiair",Q27:Q56)</f>
        <v>0</v>
      </c>
      <c r="R59" s="710">
        <f ca="1">SUMIF($Z$27:AF56,"tertiair",R27:R56)</f>
        <v>0</v>
      </c>
      <c r="S59" s="710">
        <f ca="1">SUMIF($Z$27:AG56,"tertiair",S27:S56)</f>
        <v>0</v>
      </c>
      <c r="T59" s="710">
        <f ca="1">SUMIF($Z$27:AH56,"tertiair",T27:T56)</f>
        <v>0</v>
      </c>
      <c r="U59" s="710">
        <f ca="1">SUMIF($Z$27:AI56,"tertiair",U27:U56)</f>
        <v>0</v>
      </c>
      <c r="V59" s="710">
        <f ca="1">SUMIF($Z$27:AJ56,"tertiair",V27:V56)</f>
        <v>0</v>
      </c>
      <c r="W59" s="710">
        <f ca="1">SUMIF($Z$27:AK56,"tertiair",W27:W56)</f>
        <v>0</v>
      </c>
      <c r="X59" s="711"/>
      <c r="Y59" s="711"/>
      <c r="Z59" s="712"/>
    </row>
    <row r="60" spans="1:26" s="685" customFormat="1" ht="15.75" thickBot="1">
      <c r="A60" s="713" t="s">
        <v>302</v>
      </c>
      <c r="B60" s="714"/>
      <c r="C60" s="714"/>
      <c r="D60" s="714"/>
      <c r="E60" s="714"/>
      <c r="F60" s="714"/>
      <c r="G60" s="714"/>
      <c r="H60" s="714"/>
      <c r="I60" s="714"/>
      <c r="J60" s="714"/>
      <c r="K60" s="714"/>
      <c r="L60" s="715"/>
      <c r="M60" s="715">
        <f>SUMIF($Z$27:$Z$56,"landbouw",M27:M56)</f>
        <v>0</v>
      </c>
      <c r="N60" s="715">
        <f t="shared" ref="N60:W60" si="4">SUMIF($Z$27:$Z$56,"landbouw",N27:N56)</f>
        <v>0</v>
      </c>
      <c r="O60" s="715">
        <f t="shared" si="4"/>
        <v>0</v>
      </c>
      <c r="P60" s="715">
        <f t="shared" si="4"/>
        <v>0</v>
      </c>
      <c r="Q60" s="715">
        <f t="shared" si="4"/>
        <v>0</v>
      </c>
      <c r="R60" s="715">
        <f t="shared" si="4"/>
        <v>0</v>
      </c>
      <c r="S60" s="715">
        <f t="shared" si="4"/>
        <v>0</v>
      </c>
      <c r="T60" s="715">
        <f t="shared" si="4"/>
        <v>0</v>
      </c>
      <c r="U60" s="715">
        <f t="shared" si="4"/>
        <v>0</v>
      </c>
      <c r="V60" s="715">
        <f t="shared" si="4"/>
        <v>0</v>
      </c>
      <c r="W60" s="715">
        <f t="shared" si="4"/>
        <v>0</v>
      </c>
      <c r="X60" s="716"/>
      <c r="Y60" s="716"/>
      <c r="Z60" s="717"/>
    </row>
    <row r="61" spans="1:26" s="644" customFormat="1" ht="15.75" thickBot="1">
      <c r="A61" s="718"/>
      <c r="B61" s="719"/>
      <c r="C61" s="719"/>
      <c r="D61" s="719"/>
      <c r="E61" s="719"/>
      <c r="F61" s="719"/>
      <c r="G61" s="719"/>
      <c r="H61" s="719"/>
      <c r="I61" s="719"/>
      <c r="J61" s="719"/>
      <c r="K61" s="719"/>
      <c r="L61" s="702"/>
      <c r="M61" s="702"/>
      <c r="N61" s="702"/>
      <c r="O61" s="703"/>
      <c r="P61" s="703"/>
    </row>
    <row r="62" spans="1:26" s="644" customFormat="1" ht="45">
      <c r="A62" s="720" t="s">
        <v>294</v>
      </c>
      <c r="B62" s="749" t="s">
        <v>93</v>
      </c>
      <c r="C62" s="749" t="s">
        <v>94</v>
      </c>
      <c r="D62" s="749" t="s">
        <v>95</v>
      </c>
      <c r="E62" s="749" t="s">
        <v>96</v>
      </c>
      <c r="F62" s="749" t="s">
        <v>97</v>
      </c>
      <c r="G62" s="749" t="s">
        <v>98</v>
      </c>
      <c r="H62" s="749" t="s">
        <v>99</v>
      </c>
      <c r="I62" s="749" t="s">
        <v>100</v>
      </c>
      <c r="J62" s="749" t="s">
        <v>101</v>
      </c>
      <c r="K62" s="749" t="s">
        <v>102</v>
      </c>
      <c r="L62" s="749" t="s">
        <v>103</v>
      </c>
      <c r="M62" s="750" t="s">
        <v>311</v>
      </c>
      <c r="N62" s="750" t="s">
        <v>104</v>
      </c>
      <c r="O62" s="750" t="s">
        <v>105</v>
      </c>
      <c r="P62" s="750" t="s">
        <v>635</v>
      </c>
      <c r="Q62" s="750" t="s">
        <v>106</v>
      </c>
      <c r="R62" s="750" t="s">
        <v>107</v>
      </c>
      <c r="S62" s="750" t="s">
        <v>108</v>
      </c>
      <c r="T62" s="750" t="s">
        <v>109</v>
      </c>
      <c r="U62" s="750" t="s">
        <v>110</v>
      </c>
      <c r="V62" s="750" t="s">
        <v>111</v>
      </c>
      <c r="W62" s="749" t="s">
        <v>112</v>
      </c>
      <c r="X62" s="749" t="s">
        <v>312</v>
      </c>
      <c r="Y62" s="749" t="s">
        <v>113</v>
      </c>
      <c r="Z62" s="751" t="s">
        <v>313</v>
      </c>
    </row>
    <row r="63" spans="1:26" s="721" customFormat="1" ht="12.75">
      <c r="A63" s="707"/>
      <c r="B63" s="968"/>
      <c r="C63" s="968"/>
      <c r="D63" s="755"/>
      <c r="E63" s="755"/>
      <c r="F63" s="755"/>
      <c r="G63" s="755"/>
      <c r="H63" s="755"/>
      <c r="I63" s="755"/>
      <c r="J63" s="967"/>
      <c r="K63" s="967"/>
      <c r="L63" s="755"/>
      <c r="M63" s="755"/>
      <c r="N63" s="755"/>
      <c r="O63" s="755"/>
      <c r="P63" s="755"/>
      <c r="Q63" s="755"/>
      <c r="R63" s="755"/>
      <c r="S63" s="755"/>
      <c r="T63" s="755"/>
      <c r="U63" s="755"/>
      <c r="V63" s="755"/>
      <c r="W63" s="755"/>
      <c r="X63" s="755"/>
      <c r="Y63" s="755"/>
      <c r="Z63" s="756"/>
    </row>
    <row r="64" spans="1:26" s="721" customFormat="1" ht="12.75">
      <c r="A64" s="707"/>
      <c r="B64" s="968"/>
      <c r="C64" s="968"/>
      <c r="D64" s="755"/>
      <c r="E64" s="755"/>
      <c r="F64" s="755"/>
      <c r="G64" s="755"/>
      <c r="H64" s="755"/>
      <c r="I64" s="755"/>
      <c r="J64" s="967"/>
      <c r="K64" s="967"/>
      <c r="L64" s="755"/>
      <c r="M64" s="755"/>
      <c r="N64" s="755"/>
      <c r="O64" s="755"/>
      <c r="P64" s="755"/>
      <c r="Q64" s="755"/>
      <c r="R64" s="755"/>
      <c r="S64" s="755"/>
      <c r="T64" s="755"/>
      <c r="U64" s="755"/>
      <c r="V64" s="755"/>
      <c r="W64" s="755"/>
      <c r="X64" s="755"/>
      <c r="Y64" s="755"/>
      <c r="Z64" s="756"/>
    </row>
    <row r="65" spans="1:26" s="721" customFormat="1" ht="12.75">
      <c r="A65" s="707"/>
      <c r="B65" s="968"/>
      <c r="C65" s="968"/>
      <c r="D65" s="755"/>
      <c r="E65" s="755"/>
      <c r="F65" s="755"/>
      <c r="G65" s="755"/>
      <c r="H65" s="755"/>
      <c r="I65" s="755"/>
      <c r="J65" s="967"/>
      <c r="K65" s="967"/>
      <c r="L65" s="755"/>
      <c r="M65" s="755"/>
      <c r="N65" s="755"/>
      <c r="O65" s="755"/>
      <c r="P65" s="755"/>
      <c r="Q65" s="755"/>
      <c r="R65" s="755"/>
      <c r="S65" s="755"/>
      <c r="T65" s="755"/>
      <c r="U65" s="755"/>
      <c r="V65" s="755"/>
      <c r="W65" s="755"/>
      <c r="X65" s="755"/>
      <c r="Y65" s="755"/>
      <c r="Z65" s="756"/>
    </row>
    <row r="66" spans="1:26" s="721" customFormat="1" ht="12.75">
      <c r="A66" s="707"/>
      <c r="B66" s="968"/>
      <c r="C66" s="968"/>
      <c r="D66" s="755"/>
      <c r="E66" s="755"/>
      <c r="F66" s="755"/>
      <c r="G66" s="755"/>
      <c r="H66" s="755"/>
      <c r="I66" s="755"/>
      <c r="J66" s="967"/>
      <c r="K66" s="967"/>
      <c r="L66" s="755"/>
      <c r="M66" s="755"/>
      <c r="N66" s="755"/>
      <c r="O66" s="755"/>
      <c r="P66" s="755"/>
      <c r="Q66" s="755"/>
      <c r="R66" s="755"/>
      <c r="S66" s="755"/>
      <c r="T66" s="755"/>
      <c r="U66" s="755"/>
      <c r="V66" s="755"/>
      <c r="W66" s="755"/>
      <c r="X66" s="755"/>
      <c r="Y66" s="755"/>
      <c r="Z66" s="756"/>
    </row>
    <row r="67" spans="1:26" s="721" customFormat="1" ht="12.75">
      <c r="A67" s="707"/>
      <c r="B67" s="968"/>
      <c r="C67" s="968"/>
      <c r="D67" s="755"/>
      <c r="E67" s="755"/>
      <c r="F67" s="755"/>
      <c r="G67" s="755"/>
      <c r="H67" s="755"/>
      <c r="I67" s="755"/>
      <c r="J67" s="967"/>
      <c r="K67" s="967"/>
      <c r="L67" s="755"/>
      <c r="M67" s="755"/>
      <c r="N67" s="755"/>
      <c r="O67" s="755"/>
      <c r="P67" s="755"/>
      <c r="Q67" s="755"/>
      <c r="R67" s="755"/>
      <c r="S67" s="755"/>
      <c r="T67" s="755"/>
      <c r="U67" s="755"/>
      <c r="V67" s="755"/>
      <c r="W67" s="755"/>
      <c r="X67" s="755"/>
      <c r="Y67" s="755"/>
      <c r="Z67" s="756"/>
    </row>
    <row r="68" spans="1:26" s="721" customFormat="1" ht="12.75">
      <c r="A68" s="707"/>
      <c r="B68" s="968"/>
      <c r="C68" s="968"/>
      <c r="D68" s="755"/>
      <c r="E68" s="755"/>
      <c r="F68" s="755"/>
      <c r="G68" s="755"/>
      <c r="H68" s="755"/>
      <c r="I68" s="755"/>
      <c r="J68" s="967"/>
      <c r="K68" s="967"/>
      <c r="L68" s="755"/>
      <c r="M68" s="755"/>
      <c r="N68" s="755"/>
      <c r="O68" s="755"/>
      <c r="P68" s="755"/>
      <c r="Q68" s="755"/>
      <c r="R68" s="755"/>
      <c r="S68" s="755"/>
      <c r="T68" s="755"/>
      <c r="U68" s="755"/>
      <c r="V68" s="755"/>
      <c r="W68" s="755"/>
      <c r="X68" s="755"/>
      <c r="Y68" s="755"/>
      <c r="Z68" s="756"/>
    </row>
    <row r="69" spans="1:26" s="721" customFormat="1" ht="12.75">
      <c r="A69" s="707"/>
      <c r="B69" s="968"/>
      <c r="C69" s="968"/>
      <c r="D69" s="755"/>
      <c r="E69" s="755"/>
      <c r="F69" s="755"/>
      <c r="G69" s="755"/>
      <c r="H69" s="755"/>
      <c r="I69" s="755"/>
      <c r="J69" s="967"/>
      <c r="K69" s="967"/>
      <c r="L69" s="755"/>
      <c r="M69" s="755"/>
      <c r="N69" s="755"/>
      <c r="O69" s="755"/>
      <c r="P69" s="755"/>
      <c r="Q69" s="755"/>
      <c r="R69" s="755"/>
      <c r="S69" s="755"/>
      <c r="T69" s="755"/>
      <c r="U69" s="755"/>
      <c r="V69" s="755"/>
      <c r="W69" s="755"/>
      <c r="X69" s="755"/>
      <c r="Y69" s="755"/>
      <c r="Z69" s="756"/>
    </row>
    <row r="70" spans="1:26" s="721" customFormat="1" ht="12.75">
      <c r="A70" s="707"/>
      <c r="B70" s="968"/>
      <c r="C70" s="968"/>
      <c r="D70" s="755"/>
      <c r="E70" s="755"/>
      <c r="F70" s="755"/>
      <c r="G70" s="755"/>
      <c r="H70" s="755"/>
      <c r="I70" s="755"/>
      <c r="J70" s="967"/>
      <c r="K70" s="967"/>
      <c r="L70" s="755"/>
      <c r="M70" s="755"/>
      <c r="N70" s="755"/>
      <c r="O70" s="755"/>
      <c r="P70" s="755"/>
      <c r="Q70" s="755"/>
      <c r="R70" s="755"/>
      <c r="S70" s="755"/>
      <c r="T70" s="755"/>
      <c r="U70" s="755"/>
      <c r="V70" s="755"/>
      <c r="W70" s="755"/>
      <c r="X70" s="755"/>
      <c r="Y70" s="755"/>
      <c r="Z70" s="756"/>
    </row>
    <row r="71" spans="1:26" s="721" customFormat="1" ht="12.75">
      <c r="A71" s="707"/>
      <c r="B71" s="968"/>
      <c r="C71" s="968"/>
      <c r="D71" s="755"/>
      <c r="E71" s="755"/>
      <c r="F71" s="755"/>
      <c r="G71" s="755"/>
      <c r="H71" s="755"/>
      <c r="I71" s="755"/>
      <c r="J71" s="967"/>
      <c r="K71" s="967"/>
      <c r="L71" s="755"/>
      <c r="M71" s="755"/>
      <c r="N71" s="755"/>
      <c r="O71" s="755"/>
      <c r="P71" s="755"/>
      <c r="Q71" s="755"/>
      <c r="R71" s="755"/>
      <c r="S71" s="755"/>
      <c r="T71" s="755"/>
      <c r="U71" s="755"/>
      <c r="V71" s="755"/>
      <c r="W71" s="755"/>
      <c r="X71" s="755"/>
      <c r="Y71" s="755"/>
      <c r="Z71" s="756"/>
    </row>
    <row r="72" spans="1:26" s="721" customFormat="1" ht="12.75">
      <c r="A72" s="707"/>
      <c r="B72" s="968"/>
      <c r="C72" s="968"/>
      <c r="D72" s="755"/>
      <c r="E72" s="755"/>
      <c r="F72" s="755"/>
      <c r="G72" s="755"/>
      <c r="H72" s="755"/>
      <c r="I72" s="755"/>
      <c r="J72" s="967"/>
      <c r="K72" s="967"/>
      <c r="L72" s="755"/>
      <c r="M72" s="755"/>
      <c r="N72" s="755"/>
      <c r="O72" s="755"/>
      <c r="P72" s="755"/>
      <c r="Q72" s="755"/>
      <c r="R72" s="755"/>
      <c r="S72" s="755"/>
      <c r="T72" s="755"/>
      <c r="U72" s="755"/>
      <c r="V72" s="755"/>
      <c r="W72" s="755"/>
      <c r="X72" s="755"/>
      <c r="Y72" s="755"/>
      <c r="Z72" s="756"/>
    </row>
    <row r="73" spans="1:26" s="721" customFormat="1" ht="12.75">
      <c r="A73" s="707"/>
      <c r="B73" s="968"/>
      <c r="C73" s="968"/>
      <c r="D73" s="755"/>
      <c r="E73" s="755"/>
      <c r="F73" s="755"/>
      <c r="G73" s="755"/>
      <c r="H73" s="755"/>
      <c r="I73" s="755"/>
      <c r="J73" s="967"/>
      <c r="K73" s="967"/>
      <c r="L73" s="755"/>
      <c r="M73" s="755"/>
      <c r="N73" s="755"/>
      <c r="O73" s="755"/>
      <c r="P73" s="755"/>
      <c r="Q73" s="755"/>
      <c r="R73" s="755"/>
      <c r="S73" s="755"/>
      <c r="T73" s="755"/>
      <c r="U73" s="755"/>
      <c r="V73" s="755"/>
      <c r="W73" s="755"/>
      <c r="X73" s="755"/>
      <c r="Y73" s="755"/>
      <c r="Z73" s="756"/>
    </row>
    <row r="74" spans="1:26" s="721" customFormat="1" ht="12.75">
      <c r="A74" s="707"/>
      <c r="B74" s="968"/>
      <c r="C74" s="968"/>
      <c r="D74" s="755"/>
      <c r="E74" s="755"/>
      <c r="F74" s="755"/>
      <c r="G74" s="755"/>
      <c r="H74" s="755"/>
      <c r="I74" s="755"/>
      <c r="J74" s="967"/>
      <c r="K74" s="967"/>
      <c r="L74" s="755"/>
      <c r="M74" s="755"/>
      <c r="N74" s="755"/>
      <c r="O74" s="755"/>
      <c r="P74" s="755"/>
      <c r="Q74" s="755"/>
      <c r="R74" s="755"/>
      <c r="S74" s="755"/>
      <c r="T74" s="755"/>
      <c r="U74" s="755"/>
      <c r="V74" s="755"/>
      <c r="W74" s="755"/>
      <c r="X74" s="755"/>
      <c r="Y74" s="755"/>
      <c r="Z74" s="756"/>
    </row>
    <row r="75" spans="1:26" s="721" customFormat="1" ht="12.75">
      <c r="A75" s="707"/>
      <c r="B75" s="968"/>
      <c r="C75" s="968"/>
      <c r="D75" s="755"/>
      <c r="E75" s="755"/>
      <c r="F75" s="755"/>
      <c r="G75" s="755"/>
      <c r="H75" s="755"/>
      <c r="I75" s="755"/>
      <c r="J75" s="967"/>
      <c r="K75" s="967"/>
      <c r="L75" s="755"/>
      <c r="M75" s="755"/>
      <c r="N75" s="755"/>
      <c r="O75" s="755"/>
      <c r="P75" s="755"/>
      <c r="Q75" s="755"/>
      <c r="R75" s="755"/>
      <c r="S75" s="755"/>
      <c r="T75" s="755"/>
      <c r="U75" s="755"/>
      <c r="V75" s="755"/>
      <c r="W75" s="755"/>
      <c r="X75" s="755"/>
      <c r="Y75" s="755"/>
      <c r="Z75" s="756"/>
    </row>
    <row r="76" spans="1:26" s="721" customFormat="1" ht="12.75">
      <c r="A76" s="707"/>
      <c r="B76" s="968"/>
      <c r="C76" s="968"/>
      <c r="D76" s="755"/>
      <c r="E76" s="755"/>
      <c r="F76" s="755"/>
      <c r="G76" s="755"/>
      <c r="H76" s="755"/>
      <c r="I76" s="755"/>
      <c r="J76" s="967"/>
      <c r="K76" s="967"/>
      <c r="L76" s="755"/>
      <c r="M76" s="755"/>
      <c r="N76" s="755"/>
      <c r="O76" s="755"/>
      <c r="P76" s="755"/>
      <c r="Q76" s="755"/>
      <c r="R76" s="755"/>
      <c r="S76" s="755"/>
      <c r="T76" s="755"/>
      <c r="U76" s="755"/>
      <c r="V76" s="755"/>
      <c r="W76" s="755"/>
      <c r="X76" s="755"/>
      <c r="Y76" s="755"/>
      <c r="Z76" s="756"/>
    </row>
    <row r="77" spans="1:26" s="721" customFormat="1" ht="12.75">
      <c r="A77" s="707"/>
      <c r="B77" s="968"/>
      <c r="C77" s="968"/>
      <c r="D77" s="755"/>
      <c r="E77" s="755"/>
      <c r="F77" s="755"/>
      <c r="G77" s="755"/>
      <c r="H77" s="755"/>
      <c r="I77" s="755"/>
      <c r="J77" s="967"/>
      <c r="K77" s="967"/>
      <c r="L77" s="755"/>
      <c r="M77" s="755"/>
      <c r="N77" s="755"/>
      <c r="O77" s="755"/>
      <c r="P77" s="755"/>
      <c r="Q77" s="755"/>
      <c r="R77" s="755"/>
      <c r="S77" s="755"/>
      <c r="T77" s="755"/>
      <c r="U77" s="755"/>
      <c r="V77" s="755"/>
      <c r="W77" s="755"/>
      <c r="X77" s="755"/>
      <c r="Y77" s="755"/>
      <c r="Z77" s="756"/>
    </row>
    <row r="78" spans="1:26" s="721" customFormat="1" ht="12.75">
      <c r="A78" s="707"/>
      <c r="B78" s="968"/>
      <c r="C78" s="968"/>
      <c r="D78" s="755"/>
      <c r="E78" s="755"/>
      <c r="F78" s="755"/>
      <c r="G78" s="755"/>
      <c r="H78" s="755"/>
      <c r="I78" s="755"/>
      <c r="J78" s="967"/>
      <c r="K78" s="967"/>
      <c r="L78" s="755"/>
      <c r="M78" s="755"/>
      <c r="N78" s="755"/>
      <c r="O78" s="755"/>
      <c r="P78" s="755"/>
      <c r="Q78" s="755"/>
      <c r="R78" s="755"/>
      <c r="S78" s="755"/>
      <c r="T78" s="755"/>
      <c r="U78" s="755"/>
      <c r="V78" s="755"/>
      <c r="W78" s="755"/>
      <c r="X78" s="755"/>
      <c r="Y78" s="755"/>
      <c r="Z78" s="756"/>
    </row>
    <row r="79" spans="1:26" s="721" customFormat="1" ht="12.75">
      <c r="A79" s="707"/>
      <c r="B79" s="968"/>
      <c r="C79" s="968"/>
      <c r="D79" s="755"/>
      <c r="E79" s="755"/>
      <c r="F79" s="755"/>
      <c r="G79" s="755"/>
      <c r="H79" s="755"/>
      <c r="I79" s="755"/>
      <c r="J79" s="967"/>
      <c r="K79" s="967"/>
      <c r="L79" s="755"/>
      <c r="M79" s="755"/>
      <c r="N79" s="755"/>
      <c r="O79" s="755"/>
      <c r="P79" s="755"/>
      <c r="Q79" s="755"/>
      <c r="R79" s="755"/>
      <c r="S79" s="755"/>
      <c r="T79" s="755"/>
      <c r="U79" s="755"/>
      <c r="V79" s="755"/>
      <c r="W79" s="755"/>
      <c r="X79" s="755"/>
      <c r="Y79" s="755"/>
      <c r="Z79" s="756"/>
    </row>
    <row r="80" spans="1:26" s="721" customFormat="1" ht="12.75">
      <c r="A80" s="707"/>
      <c r="B80" s="968"/>
      <c r="C80" s="968"/>
      <c r="D80" s="755"/>
      <c r="E80" s="755"/>
      <c r="F80" s="755"/>
      <c r="G80" s="755"/>
      <c r="H80" s="755"/>
      <c r="I80" s="755"/>
      <c r="J80" s="967"/>
      <c r="K80" s="967"/>
      <c r="L80" s="755"/>
      <c r="M80" s="755"/>
      <c r="N80" s="755"/>
      <c r="O80" s="755"/>
      <c r="P80" s="755"/>
      <c r="Q80" s="755"/>
      <c r="R80" s="755"/>
      <c r="S80" s="755"/>
      <c r="T80" s="755"/>
      <c r="U80" s="755"/>
      <c r="V80" s="755"/>
      <c r="W80" s="755"/>
      <c r="X80" s="755"/>
      <c r="Y80" s="755"/>
      <c r="Z80" s="756"/>
    </row>
    <row r="81" spans="1:26" s="721" customFormat="1" ht="12.75">
      <c r="A81" s="707"/>
      <c r="B81" s="968"/>
      <c r="C81" s="968"/>
      <c r="D81" s="755"/>
      <c r="E81" s="755"/>
      <c r="F81" s="755"/>
      <c r="G81" s="755"/>
      <c r="H81" s="755"/>
      <c r="I81" s="755"/>
      <c r="J81" s="967"/>
      <c r="K81" s="967"/>
      <c r="L81" s="755"/>
      <c r="M81" s="755"/>
      <c r="N81" s="755"/>
      <c r="O81" s="755"/>
      <c r="P81" s="755"/>
      <c r="Q81" s="755"/>
      <c r="R81" s="755"/>
      <c r="S81" s="755"/>
      <c r="T81" s="755"/>
      <c r="U81" s="755"/>
      <c r="V81" s="755"/>
      <c r="W81" s="755"/>
      <c r="X81" s="755"/>
      <c r="Y81" s="755"/>
      <c r="Z81" s="756"/>
    </row>
    <row r="82" spans="1:26" s="721" customFormat="1" ht="12.75">
      <c r="A82" s="707"/>
      <c r="B82" s="968"/>
      <c r="C82" s="968"/>
      <c r="D82" s="755"/>
      <c r="E82" s="755"/>
      <c r="F82" s="755"/>
      <c r="G82" s="755"/>
      <c r="H82" s="755"/>
      <c r="I82" s="755"/>
      <c r="J82" s="967"/>
      <c r="K82" s="967"/>
      <c r="L82" s="755"/>
      <c r="M82" s="755"/>
      <c r="N82" s="755"/>
      <c r="O82" s="755"/>
      <c r="P82" s="755"/>
      <c r="Q82" s="755"/>
      <c r="R82" s="755"/>
      <c r="S82" s="755"/>
      <c r="T82" s="755"/>
      <c r="U82" s="755"/>
      <c r="V82" s="755"/>
      <c r="W82" s="755"/>
      <c r="X82" s="755"/>
      <c r="Y82" s="755"/>
      <c r="Z82" s="756"/>
    </row>
    <row r="83" spans="1:26" s="721" customFormat="1" ht="12.75">
      <c r="A83" s="707"/>
      <c r="B83" s="968"/>
      <c r="C83" s="968"/>
      <c r="D83" s="755"/>
      <c r="E83" s="755"/>
      <c r="F83" s="755"/>
      <c r="G83" s="755"/>
      <c r="H83" s="755"/>
      <c r="I83" s="755"/>
      <c r="J83" s="967"/>
      <c r="K83" s="967"/>
      <c r="L83" s="755"/>
      <c r="M83" s="755"/>
      <c r="N83" s="755"/>
      <c r="O83" s="755"/>
      <c r="P83" s="755"/>
      <c r="Q83" s="755"/>
      <c r="R83" s="755"/>
      <c r="S83" s="755"/>
      <c r="T83" s="755"/>
      <c r="U83" s="755"/>
      <c r="V83" s="755"/>
      <c r="W83" s="755"/>
      <c r="X83" s="755"/>
      <c r="Y83" s="755"/>
      <c r="Z83" s="756"/>
    </row>
    <row r="84" spans="1:26" s="721" customFormat="1" ht="12.75">
      <c r="A84" s="707"/>
      <c r="B84" s="968"/>
      <c r="C84" s="968"/>
      <c r="D84" s="755"/>
      <c r="E84" s="755"/>
      <c r="F84" s="755"/>
      <c r="G84" s="755"/>
      <c r="H84" s="755"/>
      <c r="I84" s="755"/>
      <c r="J84" s="967"/>
      <c r="K84" s="967"/>
      <c r="L84" s="755"/>
      <c r="M84" s="755"/>
      <c r="N84" s="755"/>
      <c r="O84" s="755"/>
      <c r="P84" s="755"/>
      <c r="Q84" s="755"/>
      <c r="R84" s="755"/>
      <c r="S84" s="755"/>
      <c r="T84" s="755"/>
      <c r="U84" s="755"/>
      <c r="V84" s="755"/>
      <c r="W84" s="755"/>
      <c r="X84" s="755"/>
      <c r="Y84" s="755"/>
      <c r="Z84" s="756"/>
    </row>
    <row r="85" spans="1:26" s="721" customFormat="1" ht="12.75">
      <c r="A85" s="707"/>
      <c r="B85" s="968"/>
      <c r="C85" s="968"/>
      <c r="D85" s="755"/>
      <c r="E85" s="755"/>
      <c r="F85" s="755"/>
      <c r="G85" s="755"/>
      <c r="H85" s="755"/>
      <c r="I85" s="755"/>
      <c r="J85" s="967"/>
      <c r="K85" s="967"/>
      <c r="L85" s="755"/>
      <c r="M85" s="755"/>
      <c r="N85" s="755"/>
      <c r="O85" s="755"/>
      <c r="P85" s="755"/>
      <c r="Q85" s="755"/>
      <c r="R85" s="755"/>
      <c r="S85" s="755"/>
      <c r="T85" s="755"/>
      <c r="U85" s="755"/>
      <c r="V85" s="755"/>
      <c r="W85" s="755"/>
      <c r="X85" s="755"/>
      <c r="Y85" s="755"/>
      <c r="Z85" s="756"/>
    </row>
    <row r="86" spans="1:26" s="721" customFormat="1" ht="12.75">
      <c r="A86" s="707"/>
      <c r="B86" s="968"/>
      <c r="C86" s="968"/>
      <c r="D86" s="755"/>
      <c r="E86" s="755"/>
      <c r="F86" s="755"/>
      <c r="G86" s="755"/>
      <c r="H86" s="755"/>
      <c r="I86" s="755"/>
      <c r="J86" s="967"/>
      <c r="K86" s="967"/>
      <c r="L86" s="755"/>
      <c r="M86" s="755"/>
      <c r="N86" s="755"/>
      <c r="O86" s="755"/>
      <c r="P86" s="755"/>
      <c r="Q86" s="755"/>
      <c r="R86" s="755"/>
      <c r="S86" s="755"/>
      <c r="T86" s="755"/>
      <c r="U86" s="755"/>
      <c r="V86" s="755"/>
      <c r="W86" s="755"/>
      <c r="X86" s="755"/>
      <c r="Y86" s="755"/>
      <c r="Z86" s="756"/>
    </row>
    <row r="87" spans="1:26" s="721" customFormat="1" ht="12.75">
      <c r="A87" s="707"/>
      <c r="B87" s="968"/>
      <c r="C87" s="968"/>
      <c r="D87" s="755"/>
      <c r="E87" s="755"/>
      <c r="F87" s="755"/>
      <c r="G87" s="755"/>
      <c r="H87" s="755"/>
      <c r="I87" s="755"/>
      <c r="J87" s="967"/>
      <c r="K87" s="967"/>
      <c r="L87" s="755"/>
      <c r="M87" s="755"/>
      <c r="N87" s="755"/>
      <c r="O87" s="755"/>
      <c r="P87" s="755"/>
      <c r="Q87" s="755"/>
      <c r="R87" s="755"/>
      <c r="S87" s="755"/>
      <c r="T87" s="755"/>
      <c r="U87" s="755"/>
      <c r="V87" s="755"/>
      <c r="W87" s="755"/>
      <c r="X87" s="755"/>
      <c r="Y87" s="755"/>
      <c r="Z87" s="756"/>
    </row>
    <row r="88" spans="1:26" s="685" customFormat="1">
      <c r="A88" s="708" t="s">
        <v>293</v>
      </c>
      <c r="B88" s="709"/>
      <c r="C88" s="709"/>
      <c r="D88" s="709"/>
      <c r="E88" s="709"/>
      <c r="F88" s="709"/>
      <c r="G88" s="709"/>
      <c r="H88" s="709"/>
      <c r="I88" s="709"/>
      <c r="J88" s="709"/>
      <c r="K88" s="709"/>
      <c r="L88" s="710"/>
      <c r="M88" s="710">
        <f>SUM(M63:M87)</f>
        <v>0</v>
      </c>
      <c r="N88" s="710">
        <f t="shared" ref="N88:W88" si="5">SUM(N63:N87)</f>
        <v>0</v>
      </c>
      <c r="O88" s="710">
        <f t="shared" si="5"/>
        <v>0</v>
      </c>
      <c r="P88" s="710">
        <f t="shared" si="5"/>
        <v>0</v>
      </c>
      <c r="Q88" s="710">
        <f t="shared" si="5"/>
        <v>0</v>
      </c>
      <c r="R88" s="710">
        <f t="shared" si="5"/>
        <v>0</v>
      </c>
      <c r="S88" s="710">
        <f t="shared" si="5"/>
        <v>0</v>
      </c>
      <c r="T88" s="710">
        <f t="shared" si="5"/>
        <v>0</v>
      </c>
      <c r="U88" s="710">
        <f t="shared" si="5"/>
        <v>0</v>
      </c>
      <c r="V88" s="710">
        <f t="shared" si="5"/>
        <v>0</v>
      </c>
      <c r="W88" s="710">
        <f t="shared" si="5"/>
        <v>0</v>
      </c>
      <c r="X88" s="711"/>
      <c r="Y88" s="711"/>
      <c r="Z88" s="712"/>
    </row>
    <row r="89" spans="1:26" s="685" customFormat="1">
      <c r="A89" s="708" t="s">
        <v>300</v>
      </c>
      <c r="B89" s="709"/>
      <c r="C89" s="709"/>
      <c r="D89" s="709"/>
      <c r="E89" s="709"/>
      <c r="F89" s="709"/>
      <c r="G89" s="709"/>
      <c r="H89" s="709"/>
      <c r="I89" s="709"/>
      <c r="J89" s="709"/>
      <c r="K89" s="709"/>
      <c r="L89" s="710"/>
      <c r="M89" s="710">
        <f>SUMIF($Z$63:$Z$87,"industrie",M63:M87)</f>
        <v>0</v>
      </c>
      <c r="N89" s="710">
        <f t="shared" ref="N89:W89" si="6">SUMIF($Z$63:$Z$87,"industrie",N63:N87)</f>
        <v>0</v>
      </c>
      <c r="O89" s="710">
        <f t="shared" si="6"/>
        <v>0</v>
      </c>
      <c r="P89" s="710">
        <f t="shared" si="6"/>
        <v>0</v>
      </c>
      <c r="Q89" s="710">
        <f t="shared" si="6"/>
        <v>0</v>
      </c>
      <c r="R89" s="710">
        <f t="shared" si="6"/>
        <v>0</v>
      </c>
      <c r="S89" s="710">
        <f t="shared" si="6"/>
        <v>0</v>
      </c>
      <c r="T89" s="710">
        <f t="shared" si="6"/>
        <v>0</v>
      </c>
      <c r="U89" s="710">
        <f t="shared" si="6"/>
        <v>0</v>
      </c>
      <c r="V89" s="710">
        <f t="shared" si="6"/>
        <v>0</v>
      </c>
      <c r="W89" s="710">
        <f t="shared" si="6"/>
        <v>0</v>
      </c>
      <c r="X89" s="711"/>
      <c r="Y89" s="711"/>
      <c r="Z89" s="712"/>
    </row>
    <row r="90" spans="1:26" s="685" customFormat="1">
      <c r="A90" s="708" t="s">
        <v>301</v>
      </c>
      <c r="B90" s="709"/>
      <c r="C90" s="709"/>
      <c r="D90" s="709"/>
      <c r="E90" s="709"/>
      <c r="F90" s="709"/>
      <c r="G90" s="709"/>
      <c r="H90" s="709"/>
      <c r="I90" s="709"/>
      <c r="J90" s="709"/>
      <c r="K90" s="709"/>
      <c r="L90" s="710"/>
      <c r="M90" s="710">
        <f>SUMIF($Z$63:$Z$88,"tertiair",M63:M88)</f>
        <v>0</v>
      </c>
      <c r="N90" s="710">
        <f t="shared" ref="N90:W90" si="7">SUMIF($Z$63:$Z$88,"tertiair",N63:N88)</f>
        <v>0</v>
      </c>
      <c r="O90" s="710">
        <f t="shared" si="7"/>
        <v>0</v>
      </c>
      <c r="P90" s="710">
        <f t="shared" si="7"/>
        <v>0</v>
      </c>
      <c r="Q90" s="710">
        <f t="shared" si="7"/>
        <v>0</v>
      </c>
      <c r="R90" s="710">
        <f t="shared" si="7"/>
        <v>0</v>
      </c>
      <c r="S90" s="710">
        <f t="shared" si="7"/>
        <v>0</v>
      </c>
      <c r="T90" s="710">
        <f t="shared" si="7"/>
        <v>0</v>
      </c>
      <c r="U90" s="710">
        <f t="shared" si="7"/>
        <v>0</v>
      </c>
      <c r="V90" s="710">
        <f t="shared" si="7"/>
        <v>0</v>
      </c>
      <c r="W90" s="710">
        <f t="shared" si="7"/>
        <v>0</v>
      </c>
      <c r="X90" s="711"/>
      <c r="Y90" s="711"/>
      <c r="Z90" s="712"/>
    </row>
    <row r="91" spans="1:26" s="685" customFormat="1" ht="15.75" thickBot="1">
      <c r="A91" s="713" t="s">
        <v>302</v>
      </c>
      <c r="B91" s="714"/>
      <c r="C91" s="714"/>
      <c r="D91" s="714"/>
      <c r="E91" s="714"/>
      <c r="F91" s="714"/>
      <c r="G91" s="714"/>
      <c r="H91" s="714"/>
      <c r="I91" s="714"/>
      <c r="J91" s="714"/>
      <c r="K91" s="714"/>
      <c r="L91" s="715"/>
      <c r="M91" s="715">
        <f t="shared" ref="M91:W91" si="8">SUMIF($Z$63:$Z$89,"landbouw",M63:M89)</f>
        <v>0</v>
      </c>
      <c r="N91" s="715">
        <f t="shared" si="8"/>
        <v>0</v>
      </c>
      <c r="O91" s="715">
        <f t="shared" si="8"/>
        <v>0</v>
      </c>
      <c r="P91" s="715">
        <f t="shared" si="8"/>
        <v>0</v>
      </c>
      <c r="Q91" s="715">
        <f t="shared" si="8"/>
        <v>0</v>
      </c>
      <c r="R91" s="715">
        <f t="shared" si="8"/>
        <v>0</v>
      </c>
      <c r="S91" s="715">
        <f t="shared" si="8"/>
        <v>0</v>
      </c>
      <c r="T91" s="715">
        <f t="shared" si="8"/>
        <v>0</v>
      </c>
      <c r="U91" s="715">
        <f t="shared" si="8"/>
        <v>0</v>
      </c>
      <c r="V91" s="715">
        <f t="shared" si="8"/>
        <v>0</v>
      </c>
      <c r="W91" s="715">
        <f t="shared" si="8"/>
        <v>0</v>
      </c>
      <c r="X91" s="716"/>
      <c r="Y91" s="716"/>
      <c r="Z91" s="717"/>
    </row>
    <row r="92" spans="1:26" s="722" customFormat="1">
      <c r="A92" s="718"/>
      <c r="B92" s="702"/>
      <c r="C92" s="702"/>
      <c r="D92" s="702"/>
      <c r="E92" s="702"/>
      <c r="F92" s="702"/>
      <c r="G92" s="702"/>
      <c r="H92" s="702"/>
      <c r="I92" s="702"/>
      <c r="J92" s="702"/>
      <c r="K92" s="702"/>
      <c r="L92" s="702"/>
      <c r="M92" s="702"/>
      <c r="N92" s="702"/>
      <c r="O92" s="702"/>
      <c r="P92" s="702"/>
      <c r="Q92" s="702"/>
      <c r="R92" s="702"/>
      <c r="S92" s="702"/>
      <c r="T92" s="702"/>
      <c r="U92" s="702"/>
      <c r="V92" s="702"/>
      <c r="W92" s="702"/>
      <c r="X92" s="702"/>
      <c r="Y92" s="702"/>
    </row>
    <row r="93" spans="1:26" s="722" customFormat="1" ht="15.75" thickBot="1">
      <c r="A93" s="718"/>
      <c r="B93" s="702"/>
      <c r="C93" s="702"/>
      <c r="D93" s="702"/>
      <c r="E93" s="702"/>
      <c r="F93" s="702"/>
      <c r="G93" s="702"/>
      <c r="H93" s="702"/>
      <c r="I93" s="702"/>
      <c r="J93" s="702"/>
      <c r="K93" s="702"/>
      <c r="L93" s="702"/>
      <c r="M93" s="702"/>
      <c r="N93" s="702"/>
      <c r="O93" s="702"/>
      <c r="P93" s="702"/>
      <c r="Q93" s="702"/>
      <c r="R93" s="702"/>
      <c r="S93" s="702"/>
      <c r="T93" s="702"/>
      <c r="U93" s="702"/>
      <c r="V93" s="702"/>
      <c r="W93" s="702"/>
      <c r="X93" s="702"/>
      <c r="Y93" s="702"/>
    </row>
    <row r="94" spans="1:26">
      <c r="A94" s="723" t="s">
        <v>295</v>
      </c>
      <c r="B94" s="724"/>
      <c r="C94" s="724"/>
      <c r="D94" s="724"/>
      <c r="E94" s="724"/>
      <c r="F94" s="724"/>
      <c r="G94" s="724"/>
      <c r="H94" s="724"/>
      <c r="I94" s="725"/>
      <c r="J94" s="726"/>
      <c r="K94" s="726"/>
      <c r="L94" s="727"/>
      <c r="M94" s="727"/>
      <c r="N94" s="727"/>
    </row>
    <row r="95" spans="1:26">
      <c r="A95" s="729"/>
      <c r="B95" s="719"/>
      <c r="C95" s="719"/>
      <c r="D95" s="719"/>
      <c r="E95" s="719"/>
      <c r="F95" s="719"/>
      <c r="G95" s="719"/>
      <c r="H95" s="719"/>
      <c r="I95" s="730"/>
      <c r="J95" s="719"/>
      <c r="K95" s="719"/>
      <c r="L95" s="727"/>
      <c r="M95" s="727"/>
      <c r="N95" s="727"/>
    </row>
    <row r="96" spans="1:26">
      <c r="A96" s="731"/>
      <c r="B96" s="732" t="s">
        <v>296</v>
      </c>
      <c r="C96" s="732" t="s">
        <v>297</v>
      </c>
      <c r="D96" s="732"/>
      <c r="E96" s="732"/>
      <c r="F96" s="732"/>
      <c r="G96" s="732"/>
      <c r="H96" s="732"/>
      <c r="I96" s="733"/>
      <c r="J96" s="732"/>
      <c r="K96" s="732"/>
      <c r="L96" s="732"/>
      <c r="M96" s="732"/>
      <c r="N96" s="727"/>
    </row>
    <row r="97" spans="1:14">
      <c r="A97" s="729" t="s">
        <v>293</v>
      </c>
      <c r="B97" s="734">
        <f>IF(ISERROR(O57/(O57+N57)),0,O57/(O57+N57))</f>
        <v>0</v>
      </c>
      <c r="C97" s="735">
        <f>IF(ISERROR(N57/(O57+N57)),0,N57/(N57+O57))</f>
        <v>0</v>
      </c>
      <c r="D97" s="702"/>
      <c r="E97" s="702"/>
      <c r="F97" s="702"/>
      <c r="G97" s="702"/>
      <c r="H97" s="702"/>
      <c r="I97" s="736"/>
      <c r="J97" s="702"/>
      <c r="K97" s="702"/>
      <c r="L97" s="737"/>
      <c r="M97" s="737"/>
      <c r="N97" s="727"/>
    </row>
    <row r="98" spans="1:14">
      <c r="A98" s="729"/>
      <c r="B98" s="738"/>
      <c r="C98" s="738"/>
      <c r="D98" s="738"/>
      <c r="E98" s="738"/>
      <c r="F98" s="738"/>
      <c r="G98" s="738"/>
      <c r="H98" s="738"/>
      <c r="I98" s="739"/>
      <c r="J98" s="738"/>
      <c r="K98" s="738"/>
      <c r="L98" s="740"/>
      <c r="M98" s="740"/>
      <c r="N98" s="727"/>
    </row>
    <row r="99" spans="1:14" ht="30">
      <c r="A99" s="741"/>
      <c r="B99" s="742" t="s">
        <v>635</v>
      </c>
      <c r="C99" s="742" t="s">
        <v>106</v>
      </c>
      <c r="D99" s="742" t="s">
        <v>107</v>
      </c>
      <c r="E99" s="742" t="s">
        <v>108</v>
      </c>
      <c r="F99" s="742" t="s">
        <v>109</v>
      </c>
      <c r="G99" s="742" t="s">
        <v>110</v>
      </c>
      <c r="H99" s="742" t="s">
        <v>111</v>
      </c>
      <c r="I99" s="743" t="s">
        <v>112</v>
      </c>
      <c r="J99" s="732"/>
      <c r="K99" s="732"/>
      <c r="L99" s="740"/>
      <c r="M99" s="727"/>
      <c r="N99" s="727"/>
    </row>
    <row r="100" spans="1:14">
      <c r="A100" s="731" t="s">
        <v>298</v>
      </c>
      <c r="B100" s="744">
        <f t="shared" ref="B100:I100" si="9">$C$97*P57</f>
        <v>0</v>
      </c>
      <c r="C100" s="744">
        <f t="shared" si="9"/>
        <v>0</v>
      </c>
      <c r="D100" s="744">
        <f t="shared" si="9"/>
        <v>0</v>
      </c>
      <c r="E100" s="744">
        <f t="shared" si="9"/>
        <v>0</v>
      </c>
      <c r="F100" s="744">
        <f t="shared" si="9"/>
        <v>0</v>
      </c>
      <c r="G100" s="744">
        <f t="shared" si="9"/>
        <v>0</v>
      </c>
      <c r="H100" s="744">
        <f t="shared" si="9"/>
        <v>0</v>
      </c>
      <c r="I100" s="745">
        <f t="shared" si="9"/>
        <v>0</v>
      </c>
      <c r="J100" s="702"/>
      <c r="K100" s="702"/>
      <c r="L100" s="740"/>
      <c r="M100" s="727"/>
      <c r="N100" s="727"/>
    </row>
    <row r="101" spans="1:14" ht="15.75" thickBot="1">
      <c r="A101" s="746" t="s">
        <v>299</v>
      </c>
      <c r="B101" s="747">
        <f>$B$97*P57</f>
        <v>0</v>
      </c>
      <c r="C101" s="747">
        <f t="shared" ref="C101:H101" si="10">$B$97*Q57</f>
        <v>0</v>
      </c>
      <c r="D101" s="747">
        <f t="shared" si="10"/>
        <v>0</v>
      </c>
      <c r="E101" s="747">
        <f t="shared" si="10"/>
        <v>0</v>
      </c>
      <c r="F101" s="747">
        <f t="shared" si="10"/>
        <v>0</v>
      </c>
      <c r="G101" s="747">
        <f t="shared" si="10"/>
        <v>0</v>
      </c>
      <c r="H101" s="747">
        <f t="shared" si="10"/>
        <v>0</v>
      </c>
      <c r="I101" s="748">
        <f>$B$97*W57</f>
        <v>0</v>
      </c>
      <c r="J101" s="702"/>
      <c r="K101" s="702"/>
      <c r="L101" s="740"/>
      <c r="M101" s="727"/>
      <c r="N101" s="727"/>
    </row>
    <row r="102" spans="1:14">
      <c r="J102" s="681"/>
      <c r="K102" s="681"/>
      <c r="L102" s="681"/>
    </row>
    <row r="103" spans="1:14">
      <c r="J103" s="681"/>
      <c r="K103" s="681"/>
      <c r="L103" s="681"/>
    </row>
  </sheetData>
  <mergeCells count="54">
    <mergeCell ref="H4:H6"/>
    <mergeCell ref="C4:C6"/>
    <mergeCell ref="D4:D6"/>
    <mergeCell ref="E4:E6"/>
    <mergeCell ref="F4:F6"/>
    <mergeCell ref="G4:G6"/>
    <mergeCell ref="L2:L3"/>
    <mergeCell ref="Q1:Q3"/>
    <mergeCell ref="A1:A3"/>
    <mergeCell ref="B1:B3"/>
    <mergeCell ref="M1:M3"/>
    <mergeCell ref="C1:L1"/>
    <mergeCell ref="C2:G2"/>
    <mergeCell ref="H2:H3"/>
    <mergeCell ref="I2:I3"/>
    <mergeCell ref="J2:J3"/>
    <mergeCell ref="K2:K3"/>
    <mergeCell ref="K5:K6"/>
    <mergeCell ref="R5:S5"/>
    <mergeCell ref="I4:I6"/>
    <mergeCell ref="J4:J6"/>
    <mergeCell ref="L4:L6"/>
    <mergeCell ref="R6:S6"/>
    <mergeCell ref="A13:A15"/>
    <mergeCell ref="B13:B15"/>
    <mergeCell ref="C13:L13"/>
    <mergeCell ref="M13:M15"/>
    <mergeCell ref="N13:O15"/>
    <mergeCell ref="C14:G14"/>
    <mergeCell ref="H14:H15"/>
    <mergeCell ref="I14:I15"/>
    <mergeCell ref="J14:J15"/>
    <mergeCell ref="K14:K15"/>
    <mergeCell ref="L14:L15"/>
    <mergeCell ref="R7:S7"/>
    <mergeCell ref="R8:S8"/>
    <mergeCell ref="P13:P15"/>
    <mergeCell ref="Q13:R15"/>
    <mergeCell ref="N1:O3"/>
    <mergeCell ref="N4:O4"/>
    <mergeCell ref="N5:O5"/>
    <mergeCell ref="N6:O6"/>
    <mergeCell ref="N7:O7"/>
    <mergeCell ref="N8:O8"/>
    <mergeCell ref="R4:S4"/>
    <mergeCell ref="R1:S3"/>
    <mergeCell ref="N19:O19"/>
    <mergeCell ref="Q19:R19"/>
    <mergeCell ref="N16:O16"/>
    <mergeCell ref="Q16:R16"/>
    <mergeCell ref="N17:O17"/>
    <mergeCell ref="Q17:R17"/>
    <mergeCell ref="N18:O18"/>
    <mergeCell ref="Q18:R18"/>
  </mergeCells>
  <dataValidations disablePrompts="1" count="1">
    <dataValidation type="list" allowBlank="1" showInputMessage="1" showErrorMessage="1" sqref="C25">
      <formula1>#REF!</formula1>
    </dataValidation>
  </dataValidations>
  <pageMargins left="0.7" right="0.7" top="0.75" bottom="0.75" header="0.3" footer="0.3"/>
  <pageSetup paperSize="9" orientation="portrait" r:id="rId1"/>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7"/>
  <sheetViews>
    <sheetView showGridLines="0" workbookViewId="0">
      <selection activeCell="A7" sqref="A7:XFD7"/>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8" s="18" customFormat="1">
      <c r="A1" s="431" t="s">
        <v>474</v>
      </c>
      <c r="B1" s="431" t="s">
        <v>481</v>
      </c>
      <c r="C1" s="431" t="s">
        <v>480</v>
      </c>
      <c r="D1" s="431" t="s">
        <v>479</v>
      </c>
      <c r="E1" s="432" t="s">
        <v>475</v>
      </c>
      <c r="F1" s="433" t="s">
        <v>476</v>
      </c>
      <c r="G1" s="433" t="s">
        <v>477</v>
      </c>
      <c r="H1" s="433" t="s">
        <v>478</v>
      </c>
    </row>
    <row r="2" spans="1:8">
      <c r="A2" s="419" t="s">
        <v>460</v>
      </c>
      <c r="B2" s="420" t="s">
        <v>462</v>
      </c>
      <c r="C2" s="419" t="s">
        <v>460</v>
      </c>
      <c r="D2" s="419" t="s">
        <v>463</v>
      </c>
      <c r="E2" s="421" t="s">
        <v>464</v>
      </c>
      <c r="F2" s="422"/>
      <c r="G2" s="422"/>
      <c r="H2" s="422"/>
    </row>
    <row r="3" spans="1:8">
      <c r="A3" s="419" t="s">
        <v>446</v>
      </c>
      <c r="B3" s="420" t="s">
        <v>447</v>
      </c>
      <c r="C3" s="419" t="s">
        <v>446</v>
      </c>
      <c r="D3" s="419" t="s">
        <v>482</v>
      </c>
      <c r="E3" s="421"/>
      <c r="F3" s="422" t="s">
        <v>448</v>
      </c>
      <c r="G3" s="422" t="s">
        <v>449</v>
      </c>
      <c r="H3" s="423" t="s">
        <v>450</v>
      </c>
    </row>
    <row r="4" spans="1:8" s="21" customFormat="1">
      <c r="A4" s="424" t="s">
        <v>594</v>
      </c>
      <c r="B4" s="425" t="s">
        <v>462</v>
      </c>
      <c r="C4" s="424" t="s">
        <v>594</v>
      </c>
      <c r="D4" s="424" t="s">
        <v>606</v>
      </c>
      <c r="E4" s="426" t="s">
        <v>595</v>
      </c>
      <c r="F4" s="418"/>
      <c r="G4" s="418"/>
      <c r="H4" s="427"/>
    </row>
    <row r="5" spans="1:8">
      <c r="A5" s="419" t="s">
        <v>452</v>
      </c>
      <c r="B5" s="420" t="s">
        <v>447</v>
      </c>
      <c r="C5" s="419" t="s">
        <v>452</v>
      </c>
      <c r="D5" s="419" t="s">
        <v>483</v>
      </c>
      <c r="E5" s="421"/>
      <c r="F5" s="422" t="s">
        <v>454</v>
      </c>
      <c r="G5" s="422" t="s">
        <v>456</v>
      </c>
      <c r="H5" s="423" t="s">
        <v>453</v>
      </c>
    </row>
    <row r="6" spans="1:8">
      <c r="A6" s="424" t="s">
        <v>507</v>
      </c>
      <c r="B6" s="429" t="s">
        <v>508</v>
      </c>
      <c r="C6" s="424" t="s">
        <v>510</v>
      </c>
      <c r="D6" s="424" t="s">
        <v>506</v>
      </c>
      <c r="E6" s="421" t="s">
        <v>509</v>
      </c>
      <c r="F6" s="422"/>
      <c r="G6" s="422"/>
      <c r="H6" s="423"/>
    </row>
    <row r="7" spans="1:8">
      <c r="A7" s="424" t="s">
        <v>754</v>
      </c>
      <c r="B7" s="420" t="s">
        <v>755</v>
      </c>
      <c r="C7" s="424" t="s">
        <v>759</v>
      </c>
      <c r="D7" s="424" t="s">
        <v>760</v>
      </c>
      <c r="E7" s="421"/>
      <c r="F7" s="422" t="s">
        <v>756</v>
      </c>
      <c r="G7" s="422" t="s">
        <v>757</v>
      </c>
      <c r="H7" s="423" t="s">
        <v>758</v>
      </c>
    </row>
    <row r="8" spans="1:8">
      <c r="A8" s="419" t="s">
        <v>530</v>
      </c>
      <c r="B8" s="420" t="s">
        <v>533</v>
      </c>
      <c r="C8" s="419" t="s">
        <v>531</v>
      </c>
      <c r="D8" s="430" t="s">
        <v>532</v>
      </c>
      <c r="E8" s="421" t="s">
        <v>534</v>
      </c>
      <c r="F8" s="422"/>
      <c r="G8" s="422"/>
      <c r="H8" s="423"/>
    </row>
    <row r="9" spans="1:8" s="21" customFormat="1">
      <c r="A9" s="424" t="s">
        <v>469</v>
      </c>
      <c r="B9" s="420" t="s">
        <v>498</v>
      </c>
      <c r="C9" s="419"/>
      <c r="D9" s="430" t="s">
        <v>497</v>
      </c>
      <c r="E9" s="421"/>
      <c r="F9" s="422"/>
      <c r="G9" s="422"/>
      <c r="H9" s="423"/>
    </row>
    <row r="10" spans="1:8">
      <c r="A10" s="419" t="s">
        <v>435</v>
      </c>
      <c r="B10" s="420" t="s">
        <v>442</v>
      </c>
      <c r="C10" s="419" t="s">
        <v>441</v>
      </c>
      <c r="D10" s="419" t="s">
        <v>443</v>
      </c>
      <c r="E10" s="428" t="s">
        <v>436</v>
      </c>
      <c r="F10" s="422" t="s">
        <v>438</v>
      </c>
      <c r="G10" s="422" t="s">
        <v>439</v>
      </c>
      <c r="H10" s="422" t="s">
        <v>440</v>
      </c>
    </row>
    <row r="11" spans="1:8">
      <c r="A11" s="419" t="s">
        <v>465</v>
      </c>
      <c r="B11" s="420" t="s">
        <v>447</v>
      </c>
      <c r="C11" s="419" t="s">
        <v>465</v>
      </c>
      <c r="D11" s="419" t="s">
        <v>484</v>
      </c>
      <c r="E11" s="421"/>
      <c r="F11" s="422" t="s">
        <v>466</v>
      </c>
      <c r="G11" s="422" t="s">
        <v>467</v>
      </c>
      <c r="H11" s="423" t="s">
        <v>468</v>
      </c>
    </row>
    <row r="12" spans="1:8">
      <c r="A12" s="419" t="s">
        <v>485</v>
      </c>
      <c r="B12" s="420" t="s">
        <v>487</v>
      </c>
      <c r="C12" s="419" t="s">
        <v>486</v>
      </c>
      <c r="D12" s="419" t="s">
        <v>490</v>
      </c>
      <c r="E12" s="800" t="s">
        <v>720</v>
      </c>
      <c r="F12" s="422" t="s">
        <v>488</v>
      </c>
      <c r="G12" s="422" t="s">
        <v>489</v>
      </c>
      <c r="H12" s="423" t="s">
        <v>491</v>
      </c>
    </row>
    <row r="13" spans="1:8">
      <c r="A13" s="419" t="s">
        <v>604</v>
      </c>
      <c r="B13" s="420" t="s">
        <v>420</v>
      </c>
      <c r="C13" s="419" t="s">
        <v>418</v>
      </c>
      <c r="D13" s="430" t="s">
        <v>419</v>
      </c>
      <c r="E13" s="421" t="s">
        <v>421</v>
      </c>
      <c r="F13" s="422" t="s">
        <v>437</v>
      </c>
      <c r="G13" s="422" t="s">
        <v>455</v>
      </c>
      <c r="H13" s="423" t="s">
        <v>451</v>
      </c>
    </row>
    <row r="14" spans="1:8">
      <c r="A14" s="424" t="s">
        <v>603</v>
      </c>
      <c r="B14" s="429" t="s">
        <v>447</v>
      </c>
      <c r="C14" s="424" t="s">
        <v>499</v>
      </c>
      <c r="D14" s="424" t="s">
        <v>414</v>
      </c>
      <c r="E14" s="421"/>
      <c r="F14" s="422" t="s">
        <v>437</v>
      </c>
      <c r="G14" s="422" t="s">
        <v>455</v>
      </c>
      <c r="H14" s="423" t="s">
        <v>451</v>
      </c>
    </row>
    <row r="15" spans="1:8" s="21" customFormat="1">
      <c r="A15" s="424" t="s">
        <v>602</v>
      </c>
      <c r="B15" s="429" t="s">
        <v>601</v>
      </c>
      <c r="C15" s="424" t="s">
        <v>600</v>
      </c>
      <c r="D15" s="424" t="s">
        <v>599</v>
      </c>
      <c r="E15" s="417"/>
      <c r="F15" s="418"/>
      <c r="G15" s="418"/>
      <c r="H15" s="427"/>
    </row>
    <row r="16" spans="1:8">
      <c r="A16" s="424" t="s">
        <v>199</v>
      </c>
      <c r="B16" s="429" t="s">
        <v>492</v>
      </c>
      <c r="C16" s="424" t="s">
        <v>500</v>
      </c>
      <c r="D16" s="424" t="s">
        <v>501</v>
      </c>
      <c r="E16" s="421"/>
      <c r="F16" s="422" t="s">
        <v>502</v>
      </c>
      <c r="G16" s="422" t="s">
        <v>503</v>
      </c>
      <c r="H16" s="423" t="s">
        <v>504</v>
      </c>
    </row>
    <row r="17" spans="1:8">
      <c r="A17" s="419" t="s">
        <v>459</v>
      </c>
      <c r="B17" s="420" t="s">
        <v>494</v>
      </c>
      <c r="C17" s="419" t="s">
        <v>459</v>
      </c>
      <c r="D17" s="430" t="s">
        <v>493</v>
      </c>
      <c r="E17" s="421" t="s">
        <v>495</v>
      </c>
      <c r="F17" s="422"/>
      <c r="G17" s="422"/>
      <c r="H17" s="423"/>
    </row>
  </sheetData>
  <hyperlinks>
    <hyperlink ref="H3" r:id="rId1"/>
    <hyperlink ref="H13" r:id="rId2"/>
    <hyperlink ref="H5" r:id="rId3" display="mailto:toon.lenaerts@infrax.be"/>
    <hyperlink ref="H11" r:id="rId4"/>
    <hyperlink ref="E10" r:id="rId5"/>
    <hyperlink ref="H12" r:id="rId6"/>
    <hyperlink ref="H14" r:id="rId7"/>
    <hyperlink ref="E8" r:id="rId8"/>
    <hyperlink ref="E12" r:id="rId9" display="http://www.verkeerscentrum.be/extern/VlaamseVerkeersmodellen/ProvincialeVerkeersmodellen/Versie3.6/Opbouw_MM_versie3.6.1.pdf"/>
  </hyperlinks>
  <pageMargins left="0.7" right="0.7" top="0.75" bottom="0.75" header="0.3" footer="0.3"/>
  <pageSetup paperSize="9" orientation="portrait" r:id="rId10"/>
  <ignoredErrors>
    <ignoredError sqref="B2 B4 B6 B9"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19" sqref="C19"/>
    </sheetView>
  </sheetViews>
  <sheetFormatPr defaultRowHeight="15"/>
  <cols>
    <col min="2" max="2" width="12" bestFit="1" customWidth="1"/>
    <col min="3" max="3" width="145" bestFit="1" customWidth="1"/>
    <col min="4" max="4" width="28.5703125" bestFit="1" customWidth="1"/>
    <col min="6" max="6" width="28.5703125" bestFit="1" customWidth="1"/>
  </cols>
  <sheetData>
    <row r="1" spans="1:4">
      <c r="A1" s="949" t="s">
        <v>723</v>
      </c>
      <c r="B1" s="949" t="s">
        <v>724</v>
      </c>
      <c r="C1" s="949" t="s">
        <v>729</v>
      </c>
      <c r="D1" s="949" t="s">
        <v>728</v>
      </c>
    </row>
    <row r="2" spans="1:4">
      <c r="A2" t="s">
        <v>725</v>
      </c>
      <c r="B2" s="947">
        <v>41626</v>
      </c>
      <c r="C2" t="s">
        <v>732</v>
      </c>
      <c r="D2" s="948" t="s">
        <v>731</v>
      </c>
    </row>
    <row r="3" spans="1:4">
      <c r="A3" t="s">
        <v>726</v>
      </c>
      <c r="B3" s="947">
        <v>41646</v>
      </c>
      <c r="C3" t="s">
        <v>730</v>
      </c>
      <c r="D3" s="948" t="s">
        <v>727</v>
      </c>
    </row>
    <row r="4" spans="1:4">
      <c r="A4" t="s">
        <v>733</v>
      </c>
      <c r="B4" s="947">
        <v>41676</v>
      </c>
      <c r="C4" t="s">
        <v>734</v>
      </c>
      <c r="D4" s="948" t="s">
        <v>736</v>
      </c>
    </row>
    <row r="5" spans="1:4">
      <c r="A5" t="s">
        <v>733</v>
      </c>
      <c r="B5" s="947">
        <v>41676</v>
      </c>
      <c r="C5" t="s">
        <v>735</v>
      </c>
      <c r="D5" s="948" t="s">
        <v>737</v>
      </c>
    </row>
    <row r="6" spans="1:4" ht="17.25">
      <c r="A6" t="s">
        <v>733</v>
      </c>
      <c r="B6" s="947">
        <v>41676</v>
      </c>
      <c r="C6" t="s">
        <v>739</v>
      </c>
      <c r="D6" s="948" t="s">
        <v>738</v>
      </c>
    </row>
    <row r="7" spans="1:4">
      <c r="A7" t="s">
        <v>741</v>
      </c>
      <c r="B7" s="947">
        <v>41715</v>
      </c>
      <c r="C7" t="s">
        <v>743</v>
      </c>
      <c r="D7" s="962" t="s">
        <v>742</v>
      </c>
    </row>
    <row r="8" spans="1:4">
      <c r="A8" t="s">
        <v>741</v>
      </c>
      <c r="B8" s="947">
        <v>41715</v>
      </c>
      <c r="C8" t="s">
        <v>746</v>
      </c>
      <c r="D8" s="948" t="s">
        <v>747</v>
      </c>
    </row>
    <row r="9" spans="1:4">
      <c r="A9" t="s">
        <v>741</v>
      </c>
      <c r="B9" s="947">
        <v>41726</v>
      </c>
      <c r="C9" t="s">
        <v>748</v>
      </c>
      <c r="D9" s="962" t="s">
        <v>753</v>
      </c>
    </row>
    <row r="10" spans="1:4">
      <c r="A10" t="s">
        <v>763</v>
      </c>
      <c r="B10" s="947">
        <v>41759</v>
      </c>
      <c r="C10" t="s">
        <v>765</v>
      </c>
      <c r="D10" s="948" t="s">
        <v>764</v>
      </c>
    </row>
    <row r="11" spans="1:4">
      <c r="A11" t="s">
        <v>763</v>
      </c>
      <c r="B11" s="947">
        <v>41759</v>
      </c>
      <c r="C11" t="s">
        <v>767</v>
      </c>
      <c r="D11" s="948" t="s">
        <v>766</v>
      </c>
    </row>
  </sheetData>
  <hyperlinks>
    <hyperlink ref="D3" location="'lokale energieproductie'!C97" display="'lokale energieproductie'!C97"/>
    <hyperlink ref="D2" location="'ECF transport '!A1" display="'ECF transport '!A1"/>
    <hyperlink ref="D4:D5" location="'lokale energieproductie'!C97" display="'lokale energieproductie'!C97"/>
    <hyperlink ref="D4" location="huishoudens!B68" display="huishoudens!B68"/>
    <hyperlink ref="D5" location="tertiair!B46" display="tertiair!B46"/>
    <hyperlink ref="D6" location="'are_N2O bodem landbouw'!B5" display="are_N2O bodem landbouw'!B5"/>
    <hyperlink ref="D7" location="huishoudens!A1" display="huishoudens!A1"/>
    <hyperlink ref="D8" location="'Eigen gebouwen'!A1" display="'Eigen gebouwen'!A1"/>
    <hyperlink ref="D9" location="data!A1" display="data!A1"/>
    <hyperlink ref="D10" location="'lokale energieproductie'!A1" display="'lokale energieproductie'!A1"/>
    <hyperlink ref="D11" location="'Eigen gebouwen'!A1" display="'Eigen gebouwen'!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6"/>
  </sheetPr>
  <dimension ref="A2:T76"/>
  <sheetViews>
    <sheetView showGridLines="0" zoomScale="69" zoomScaleNormal="69" workbookViewId="0">
      <selection activeCell="B49" sqref="B49:P50"/>
    </sheetView>
  </sheetViews>
  <sheetFormatPr defaultRowHeight="14.25"/>
  <cols>
    <col min="1" max="1" width="76.85546875" style="549" customWidth="1"/>
    <col min="2" max="2" width="21.28515625" style="77" customWidth="1"/>
    <col min="3" max="3" width="16" style="77" bestFit="1" customWidth="1"/>
    <col min="4" max="4" width="14.28515625" style="77" bestFit="1" customWidth="1"/>
    <col min="5" max="5" width="12.85546875" style="77" customWidth="1"/>
    <col min="6" max="6" width="13.85546875" style="77" bestFit="1" customWidth="1"/>
    <col min="7" max="7" width="14.28515625" style="77" bestFit="1" customWidth="1"/>
    <col min="8" max="8" width="12.7109375" style="77" bestFit="1" customWidth="1"/>
    <col min="9" max="10" width="17.28515625" style="77" bestFit="1" customWidth="1"/>
    <col min="11" max="11" width="29.42578125" style="77" bestFit="1" customWidth="1"/>
    <col min="12" max="12" width="22.140625" style="77" customWidth="1"/>
    <col min="13" max="14" width="12.42578125" style="77" bestFit="1" customWidth="1"/>
    <col min="15" max="16" width="11.28515625" style="77" bestFit="1" customWidth="1"/>
    <col min="17" max="17" width="17.28515625" style="77" customWidth="1"/>
    <col min="18" max="20" width="9.140625" style="77"/>
    <col min="21" max="16384" width="9.140625" style="549"/>
  </cols>
  <sheetData>
    <row r="2" spans="1:20" ht="15.75">
      <c r="A2" s="1050" t="s">
        <v>232</v>
      </c>
      <c r="B2" s="1050"/>
      <c r="C2" s="74"/>
      <c r="D2" s="74"/>
      <c r="E2" s="74"/>
      <c r="F2" s="74"/>
      <c r="G2" s="75"/>
      <c r="H2" s="75"/>
      <c r="I2" s="76"/>
      <c r="J2" s="76"/>
      <c r="K2" s="75"/>
      <c r="L2" s="75"/>
      <c r="M2" s="75"/>
      <c r="N2" s="75"/>
      <c r="O2" s="75"/>
      <c r="P2" s="75"/>
      <c r="Q2" s="75"/>
    </row>
    <row r="3" spans="1:20">
      <c r="A3" s="1051"/>
      <c r="B3" s="1051"/>
      <c r="C3" s="1051"/>
      <c r="D3" s="1051"/>
      <c r="E3" s="1051"/>
      <c r="F3" s="1051"/>
      <c r="G3" s="1051"/>
      <c r="H3" s="1051"/>
      <c r="I3" s="1051"/>
      <c r="J3" s="1051"/>
      <c r="K3" s="1051"/>
      <c r="L3" s="1051"/>
      <c r="M3" s="1051"/>
      <c r="N3" s="1051"/>
      <c r="O3" s="1051"/>
      <c r="P3" s="1051"/>
      <c r="Q3" s="1051"/>
    </row>
    <row r="4" spans="1:20" ht="15.75" thickBot="1">
      <c r="A4" s="550"/>
      <c r="B4" s="78"/>
      <c r="C4" s="78"/>
      <c r="D4" s="78"/>
      <c r="E4" s="78"/>
      <c r="F4" s="78"/>
      <c r="G4" s="78"/>
      <c r="H4" s="78"/>
      <c r="I4" s="78"/>
      <c r="J4" s="78"/>
      <c r="K4" s="78"/>
      <c r="L4" s="78"/>
      <c r="M4" s="78"/>
      <c r="N4" s="78"/>
      <c r="O4" s="78"/>
      <c r="P4" s="78"/>
      <c r="Q4" s="78"/>
    </row>
    <row r="5" spans="1:20" ht="16.5" thickBot="1">
      <c r="A5" s="1052" t="s">
        <v>233</v>
      </c>
      <c r="B5" s="1055" t="s">
        <v>376</v>
      </c>
      <c r="C5" s="1056"/>
      <c r="D5" s="1056"/>
      <c r="E5" s="1056"/>
      <c r="F5" s="1056"/>
      <c r="G5" s="1056"/>
      <c r="H5" s="1056"/>
      <c r="I5" s="1056"/>
      <c r="J5" s="1056"/>
      <c r="K5" s="1056"/>
      <c r="L5" s="1056"/>
      <c r="M5" s="1056"/>
      <c r="N5" s="1056"/>
      <c r="O5" s="1056"/>
      <c r="P5" s="1056"/>
      <c r="Q5" s="1057"/>
    </row>
    <row r="6" spans="1:20" ht="15.75" thickTop="1">
      <c r="A6" s="1053"/>
      <c r="B6" s="1058" t="s">
        <v>21</v>
      </c>
      <c r="C6" s="1060" t="s">
        <v>202</v>
      </c>
      <c r="D6" s="1062" t="s">
        <v>203</v>
      </c>
      <c r="E6" s="1063"/>
      <c r="F6" s="1063"/>
      <c r="G6" s="1063"/>
      <c r="H6" s="1063"/>
      <c r="I6" s="1063"/>
      <c r="J6" s="1063"/>
      <c r="K6" s="1064"/>
      <c r="L6" s="1062" t="s">
        <v>204</v>
      </c>
      <c r="M6" s="1063"/>
      <c r="N6" s="1063"/>
      <c r="O6" s="1063"/>
      <c r="P6" s="1063"/>
      <c r="Q6" s="1065" t="s">
        <v>119</v>
      </c>
    </row>
    <row r="7" spans="1:20" ht="45.75" thickBot="1">
      <c r="A7" s="1054"/>
      <c r="B7" s="1059"/>
      <c r="C7" s="1061"/>
      <c r="D7" s="546" t="s">
        <v>205</v>
      </c>
      <c r="E7" s="546" t="s">
        <v>206</v>
      </c>
      <c r="F7" s="79" t="s">
        <v>207</v>
      </c>
      <c r="G7" s="546" t="s">
        <v>208</v>
      </c>
      <c r="H7" s="546" t="s">
        <v>123</v>
      </c>
      <c r="I7" s="546" t="s">
        <v>209</v>
      </c>
      <c r="J7" s="547" t="s">
        <v>210</v>
      </c>
      <c r="K7" s="547" t="s">
        <v>211</v>
      </c>
      <c r="L7" s="79" t="s">
        <v>212</v>
      </c>
      <c r="M7" s="80" t="s">
        <v>213</v>
      </c>
      <c r="N7" s="80" t="s">
        <v>214</v>
      </c>
      <c r="O7" s="80" t="s">
        <v>215</v>
      </c>
      <c r="P7" s="81" t="s">
        <v>216</v>
      </c>
      <c r="Q7" s="1066"/>
    </row>
    <row r="8" spans="1:20" ht="18.75" customHeight="1" thickTop="1">
      <c r="A8" s="551" t="s">
        <v>377</v>
      </c>
      <c r="B8" s="1036"/>
      <c r="C8" s="1036"/>
      <c r="D8" s="1036"/>
      <c r="E8" s="1036"/>
      <c r="F8" s="1036"/>
      <c r="G8" s="1036"/>
      <c r="H8" s="1036"/>
      <c r="I8" s="1036"/>
      <c r="J8" s="1036"/>
      <c r="K8" s="1036"/>
      <c r="L8" s="1036"/>
      <c r="M8" s="1036"/>
      <c r="N8" s="1036"/>
      <c r="O8" s="1036"/>
      <c r="P8" s="1036"/>
      <c r="Q8" s="355"/>
    </row>
    <row r="9" spans="1:20" s="552" customFormat="1">
      <c r="A9" s="801" t="s">
        <v>234</v>
      </c>
      <c r="B9" s="802">
        <f>'Eigen gebouwen'!B15</f>
        <v>1737.6089999999999</v>
      </c>
      <c r="C9" s="802">
        <f>'Eigen gebouwen'!C15</f>
        <v>0</v>
      </c>
      <c r="D9" s="802">
        <f>'Eigen gebouwen'!D15</f>
        <v>6528.5060000000003</v>
      </c>
      <c r="E9" s="802">
        <f>'Eigen gebouwen'!E15</f>
        <v>0</v>
      </c>
      <c r="F9" s="802">
        <f>'Eigen gebouwen'!F15</f>
        <v>302.08058675036102</v>
      </c>
      <c r="G9" s="802">
        <f>'Eigen gebouwen'!G15</f>
        <v>0</v>
      </c>
      <c r="H9" s="802">
        <f>'Eigen gebouwen'!H15</f>
        <v>0</v>
      </c>
      <c r="I9" s="802">
        <f>'Eigen gebouwen'!I15</f>
        <v>0</v>
      </c>
      <c r="J9" s="802">
        <f>'Eigen gebouwen'!J15</f>
        <v>0</v>
      </c>
      <c r="K9" s="802">
        <f>'Eigen gebouwen'!K15</f>
        <v>0</v>
      </c>
      <c r="L9" s="802">
        <f>'Eigen gebouwen'!L15</f>
        <v>0</v>
      </c>
      <c r="M9" s="802">
        <f>'Eigen gebouwen'!M15</f>
        <v>0</v>
      </c>
      <c r="N9" s="802">
        <f>'Eigen gebouwen'!N15</f>
        <v>0</v>
      </c>
      <c r="O9" s="802">
        <f>'Eigen gebouwen'!O15</f>
        <v>0</v>
      </c>
      <c r="P9" s="803">
        <f>'Eigen gebouwen'!P15</f>
        <v>0</v>
      </c>
      <c r="Q9" s="804">
        <f>SUM(B9:P9)</f>
        <v>8568.1955867503602</v>
      </c>
      <c r="R9" s="82"/>
      <c r="S9" s="82"/>
      <c r="T9" s="82"/>
    </row>
    <row r="10" spans="1:20" s="552" customFormat="1">
      <c r="A10" s="805" t="s">
        <v>235</v>
      </c>
      <c r="B10" s="802">
        <f ca="1">tertiair!B16+'openbare verlichting'!B8+landbouw!B8</f>
        <v>28011.334836068057</v>
      </c>
      <c r="C10" s="802">
        <f ca="1">tertiair!C16+landbouw!C8</f>
        <v>0</v>
      </c>
      <c r="D10" s="802">
        <f ca="1">tertiair!D16+landbouw!D8</f>
        <v>43314.533534516362</v>
      </c>
      <c r="E10" s="802">
        <f>tertiair!E16+landbouw!E8</f>
        <v>542.91505218656266</v>
      </c>
      <c r="F10" s="802">
        <f ca="1">tertiair!F16+landbouw!F8</f>
        <v>6409.8128924881212</v>
      </c>
      <c r="G10" s="802">
        <f>tertiair!G16+landbouw!G8</f>
        <v>0</v>
      </c>
      <c r="H10" s="802">
        <f>tertiair!H16+landbouw!H8</f>
        <v>0</v>
      </c>
      <c r="I10" s="802">
        <f>tertiair!I16+landbouw!I8</f>
        <v>0</v>
      </c>
      <c r="J10" s="802">
        <f>tertiair!J16+landbouw!J8</f>
        <v>15.558192388009759</v>
      </c>
      <c r="K10" s="802">
        <f>tertiair!K16+landbouw!K8</f>
        <v>0</v>
      </c>
      <c r="L10" s="802">
        <f ca="1">tertiair!L16+landbouw!L8</f>
        <v>0</v>
      </c>
      <c r="M10" s="802">
        <f>tertiair!M16+landbouw!M8</f>
        <v>0</v>
      </c>
      <c r="N10" s="802">
        <f ca="1">tertiair!N16+landbouw!N8</f>
        <v>515.58947484055921</v>
      </c>
      <c r="O10" s="802">
        <f>tertiair!O16+landbouw!O8</f>
        <v>1.5633333333333335</v>
      </c>
      <c r="P10" s="803">
        <f>tertiair!P16+landbouw!P8</f>
        <v>0</v>
      </c>
      <c r="Q10" s="806">
        <f ca="1">SUM(B10:P10)</f>
        <v>78811.307315821003</v>
      </c>
      <c r="R10" s="82"/>
      <c r="S10" s="82"/>
      <c r="T10" s="82"/>
    </row>
    <row r="11" spans="1:20" s="552" customFormat="1">
      <c r="A11" s="801" t="s">
        <v>236</v>
      </c>
      <c r="B11" s="802">
        <f>huishoudens!B8</f>
        <v>37450.698305203099</v>
      </c>
      <c r="C11" s="802">
        <f>huishoudens!C8</f>
        <v>0</v>
      </c>
      <c r="D11" s="802">
        <f>huishoudens!D8</f>
        <v>126041.54106442082</v>
      </c>
      <c r="E11" s="802">
        <f>huishoudens!E8</f>
        <v>710.59664248632873</v>
      </c>
      <c r="F11" s="802">
        <f>huishoudens!F8</f>
        <v>12965.277392357542</v>
      </c>
      <c r="G11" s="802">
        <f>huishoudens!G8</f>
        <v>0</v>
      </c>
      <c r="H11" s="802">
        <f>huishoudens!H8</f>
        <v>0</v>
      </c>
      <c r="I11" s="802">
        <f>huishoudens!I8</f>
        <v>0</v>
      </c>
      <c r="J11" s="802">
        <f>huishoudens!J8</f>
        <v>0</v>
      </c>
      <c r="K11" s="802">
        <f>huishoudens!K8</f>
        <v>0</v>
      </c>
      <c r="L11" s="802">
        <f>huishoudens!L8</f>
        <v>0</v>
      </c>
      <c r="M11" s="802">
        <f>huishoudens!M8</f>
        <v>0</v>
      </c>
      <c r="N11" s="802">
        <f>huishoudens!N8</f>
        <v>4240.4994311859937</v>
      </c>
      <c r="O11" s="802">
        <f>huishoudens!O8</f>
        <v>85.983333333333334</v>
      </c>
      <c r="P11" s="803">
        <f>huishoudens!P8</f>
        <v>0</v>
      </c>
      <c r="Q11" s="806">
        <f>SUM(B11:P11)</f>
        <v>181494.5961689871</v>
      </c>
      <c r="R11" s="82"/>
      <c r="S11" s="82"/>
      <c r="T11" s="82"/>
    </row>
    <row r="12" spans="1:20" s="552" customFormat="1">
      <c r="A12" s="801" t="s">
        <v>592</v>
      </c>
      <c r="B12" s="802">
        <f>'Eigen openbare verlichting'!B15</f>
        <v>1015.888</v>
      </c>
      <c r="C12" s="802"/>
      <c r="D12" s="802"/>
      <c r="E12" s="802"/>
      <c r="F12" s="802"/>
      <c r="G12" s="802"/>
      <c r="H12" s="802"/>
      <c r="I12" s="802"/>
      <c r="J12" s="802"/>
      <c r="K12" s="802"/>
      <c r="L12" s="802"/>
      <c r="M12" s="802"/>
      <c r="N12" s="802"/>
      <c r="O12" s="802"/>
      <c r="P12" s="802"/>
      <c r="Q12" s="806">
        <f>SUM(B12:P12)</f>
        <v>1015.888</v>
      </c>
      <c r="R12" s="82"/>
      <c r="S12" s="82"/>
      <c r="T12" s="82"/>
    </row>
    <row r="13" spans="1:20" s="552" customFormat="1" ht="29.25" thickBot="1">
      <c r="A13" s="807" t="s">
        <v>237</v>
      </c>
      <c r="B13" s="808">
        <f>industrie!B18</f>
        <v>2087.9345772822685</v>
      </c>
      <c r="C13" s="809">
        <f>industrie!C18</f>
        <v>0</v>
      </c>
      <c r="D13" s="809">
        <f>industrie!D18</f>
        <v>322056.8081434943</v>
      </c>
      <c r="E13" s="809">
        <f>industrie!E18</f>
        <v>24.339969835937236</v>
      </c>
      <c r="F13" s="809">
        <f>industrie!F18</f>
        <v>858.79223362133735</v>
      </c>
      <c r="G13" s="809">
        <f>industrie!G18</f>
        <v>0</v>
      </c>
      <c r="H13" s="809">
        <f>industrie!H18</f>
        <v>0</v>
      </c>
      <c r="I13" s="809">
        <f>industrie!I18</f>
        <v>0</v>
      </c>
      <c r="J13" s="809">
        <f>industrie!J18</f>
        <v>6.0109829516180202</v>
      </c>
      <c r="K13" s="809">
        <f>industrie!K18</f>
        <v>0</v>
      </c>
      <c r="L13" s="809">
        <f>industrie!L18</f>
        <v>0</v>
      </c>
      <c r="M13" s="809">
        <f>industrie!M18</f>
        <v>0</v>
      </c>
      <c r="N13" s="809">
        <f>industrie!N18</f>
        <v>80.420311207402676</v>
      </c>
      <c r="O13" s="809">
        <f>industrie!O18</f>
        <v>0</v>
      </c>
      <c r="P13" s="810">
        <f>industrie!P18</f>
        <v>0</v>
      </c>
      <c r="Q13" s="811">
        <f>SUM(B13:P13)</f>
        <v>325114.30621839291</v>
      </c>
      <c r="R13" s="82"/>
      <c r="S13" s="82"/>
      <c r="T13" s="82"/>
    </row>
    <row r="14" spans="1:20" s="552" customFormat="1" ht="15.75" thickBot="1">
      <c r="A14" s="812" t="s">
        <v>238</v>
      </c>
      <c r="B14" s="813">
        <f ca="1">SUM(B9:B13)</f>
        <v>70303.464718553427</v>
      </c>
      <c r="C14" s="813">
        <f ca="1">SUM(C9:C13)</f>
        <v>0</v>
      </c>
      <c r="D14" s="813">
        <f ca="1">SUM(D9:D13)</f>
        <v>497941.38874243147</v>
      </c>
      <c r="E14" s="813">
        <f t="shared" ref="E14:Q14" si="0">SUM(E9:E13)</f>
        <v>1277.8516645088284</v>
      </c>
      <c r="F14" s="813">
        <f t="shared" ca="1" si="0"/>
        <v>20535.963105217365</v>
      </c>
      <c r="G14" s="813">
        <f t="shared" si="0"/>
        <v>0</v>
      </c>
      <c r="H14" s="813">
        <f t="shared" si="0"/>
        <v>0</v>
      </c>
      <c r="I14" s="813">
        <f t="shared" si="0"/>
        <v>0</v>
      </c>
      <c r="J14" s="813">
        <f t="shared" si="0"/>
        <v>21.56917533962778</v>
      </c>
      <c r="K14" s="813">
        <f t="shared" si="0"/>
        <v>0</v>
      </c>
      <c r="L14" s="813">
        <f t="shared" ca="1" si="0"/>
        <v>0</v>
      </c>
      <c r="M14" s="813">
        <f t="shared" si="0"/>
        <v>0</v>
      </c>
      <c r="N14" s="813">
        <f t="shared" ca="1" si="0"/>
        <v>4836.5092172339555</v>
      </c>
      <c r="O14" s="813">
        <f t="shared" si="0"/>
        <v>87.546666666666667</v>
      </c>
      <c r="P14" s="814">
        <f t="shared" si="0"/>
        <v>0</v>
      </c>
      <c r="Q14" s="815">
        <f t="shared" ca="1" si="0"/>
        <v>595004.29328995128</v>
      </c>
      <c r="R14" s="82"/>
      <c r="S14" s="82"/>
      <c r="T14" s="82"/>
    </row>
    <row r="15" spans="1:20" s="552" customFormat="1" ht="15.75">
      <c r="A15" s="816" t="s">
        <v>239</v>
      </c>
      <c r="B15" s="1037"/>
      <c r="C15" s="1038"/>
      <c r="D15" s="1038"/>
      <c r="E15" s="1038"/>
      <c r="F15" s="1038"/>
      <c r="G15" s="1038"/>
      <c r="H15" s="1038"/>
      <c r="I15" s="1038"/>
      <c r="J15" s="1038"/>
      <c r="K15" s="1038"/>
      <c r="L15" s="1038"/>
      <c r="M15" s="1038"/>
      <c r="N15" s="1038"/>
      <c r="O15" s="1038"/>
      <c r="P15" s="1038"/>
      <c r="Q15" s="817"/>
      <c r="R15" s="82"/>
      <c r="S15" s="82"/>
      <c r="T15" s="82"/>
    </row>
    <row r="16" spans="1:20" s="552" customFormat="1">
      <c r="A16" s="801" t="s">
        <v>240</v>
      </c>
      <c r="B16" s="802">
        <f>'Eigen vloot'!B26</f>
        <v>0</v>
      </c>
      <c r="C16" s="802">
        <f>'Eigen vloot'!C26</f>
        <v>0</v>
      </c>
      <c r="D16" s="802">
        <f>'Eigen vloot'!D26</f>
        <v>0</v>
      </c>
      <c r="E16" s="802">
        <f>'Eigen vloot'!E26</f>
        <v>56.267056850603758</v>
      </c>
      <c r="F16" s="802">
        <f>'Eigen vloot'!F26</f>
        <v>0</v>
      </c>
      <c r="G16" s="802">
        <f>'Eigen vloot'!G26</f>
        <v>327.88452098768346</v>
      </c>
      <c r="H16" s="802">
        <f>'Eigen vloot'!H26</f>
        <v>40.526913156461553</v>
      </c>
      <c r="I16" s="802">
        <f>'Eigen vloot'!I26</f>
        <v>0</v>
      </c>
      <c r="J16" s="802">
        <f>'Eigen vloot'!J26</f>
        <v>0</v>
      </c>
      <c r="K16" s="802">
        <f>'Eigen vloot'!K26</f>
        <v>0</v>
      </c>
      <c r="L16" s="802">
        <f>'Eigen vloot'!L26</f>
        <v>0</v>
      </c>
      <c r="M16" s="802">
        <f>'Eigen vloot'!M26</f>
        <v>0</v>
      </c>
      <c r="N16" s="802">
        <f>'Eigen vloot'!N26</f>
        <v>0</v>
      </c>
      <c r="O16" s="802">
        <f>'Eigen vloot'!O26</f>
        <v>0</v>
      </c>
      <c r="P16" s="803">
        <f>'Eigen vloot'!P26</f>
        <v>0</v>
      </c>
      <c r="Q16" s="806">
        <f>SUM(B16:P16)</f>
        <v>424.67849099474876</v>
      </c>
      <c r="R16" s="82"/>
      <c r="S16" s="82"/>
      <c r="T16" s="82"/>
    </row>
    <row r="17" spans="1:20" s="552" customFormat="1">
      <c r="A17" s="801" t="s">
        <v>241</v>
      </c>
      <c r="B17" s="802">
        <f>transport!B58</f>
        <v>1414.5300829497046</v>
      </c>
      <c r="C17" s="802">
        <f>transport!C58</f>
        <v>0</v>
      </c>
      <c r="D17" s="802">
        <f>transport!D58</f>
        <v>0</v>
      </c>
      <c r="E17" s="802">
        <f>transport!E58</f>
        <v>0</v>
      </c>
      <c r="F17" s="802">
        <f>transport!F58</f>
        <v>0</v>
      </c>
      <c r="G17" s="802">
        <f>transport!G58</f>
        <v>732.84836028957807</v>
      </c>
      <c r="H17" s="802">
        <f>transport!H58</f>
        <v>0</v>
      </c>
      <c r="I17" s="802">
        <f>transport!I58</f>
        <v>0</v>
      </c>
      <c r="J17" s="802">
        <f>transport!J58</f>
        <v>0</v>
      </c>
      <c r="K17" s="802">
        <f>transport!K58</f>
        <v>0</v>
      </c>
      <c r="L17" s="802">
        <f>transport!L58</f>
        <v>0</v>
      </c>
      <c r="M17" s="802">
        <f>transport!M58</f>
        <v>42.036371485295788</v>
      </c>
      <c r="N17" s="802">
        <f>transport!N58</f>
        <v>0</v>
      </c>
      <c r="O17" s="802">
        <f>transport!O58</f>
        <v>0</v>
      </c>
      <c r="P17" s="803">
        <f>transport!P58</f>
        <v>0</v>
      </c>
      <c r="Q17" s="806">
        <f>SUM(B17:P17)</f>
        <v>2189.4148147245783</v>
      </c>
      <c r="R17" s="82"/>
      <c r="S17" s="82"/>
      <c r="T17" s="82"/>
    </row>
    <row r="18" spans="1:20" s="552" customFormat="1" ht="15" thickBot="1">
      <c r="A18" s="801" t="s">
        <v>320</v>
      </c>
      <c r="B18" s="818">
        <f>transport!B17</f>
        <v>8.8116273934525188E-2</v>
      </c>
      <c r="C18" s="818">
        <f>transport!C17</f>
        <v>0</v>
      </c>
      <c r="D18" s="818">
        <f>transport!D17</f>
        <v>0.81730772719880651</v>
      </c>
      <c r="E18" s="818">
        <f>transport!E17</f>
        <v>357.59391536594677</v>
      </c>
      <c r="F18" s="818">
        <f>transport!F17</f>
        <v>0</v>
      </c>
      <c r="G18" s="818">
        <f>transport!G17</f>
        <v>45868.458128061393</v>
      </c>
      <c r="H18" s="818">
        <f>transport!H17</f>
        <v>9397.6910100153455</v>
      </c>
      <c r="I18" s="818">
        <f>transport!I17</f>
        <v>0</v>
      </c>
      <c r="J18" s="818">
        <f>transport!J17</f>
        <v>0</v>
      </c>
      <c r="K18" s="818">
        <f>transport!K17</f>
        <v>0</v>
      </c>
      <c r="L18" s="818">
        <f>transport!L17</f>
        <v>0</v>
      </c>
      <c r="M18" s="818">
        <f>transport!M17</f>
        <v>2277.2376523888015</v>
      </c>
      <c r="N18" s="818">
        <f>transport!N17</f>
        <v>0</v>
      </c>
      <c r="O18" s="818">
        <f>transport!O17</f>
        <v>0</v>
      </c>
      <c r="P18" s="819">
        <f>transport!P17</f>
        <v>0</v>
      </c>
      <c r="Q18" s="820">
        <f>SUM(B18:P18)</f>
        <v>57901.886129832623</v>
      </c>
      <c r="R18" s="82"/>
      <c r="S18" s="82"/>
      <c r="T18" s="82"/>
    </row>
    <row r="19" spans="1:20" s="552" customFormat="1" ht="15.75" thickBot="1">
      <c r="A19" s="821" t="s">
        <v>242</v>
      </c>
      <c r="B19" s="822">
        <f>SUM(B16:B18)</f>
        <v>1414.6181992236391</v>
      </c>
      <c r="C19" s="822">
        <f t="shared" ref="C19:Q19" si="1">SUM(C16:C18)</f>
        <v>0</v>
      </c>
      <c r="D19" s="822">
        <f t="shared" si="1"/>
        <v>0.81730772719880651</v>
      </c>
      <c r="E19" s="822">
        <f t="shared" si="1"/>
        <v>413.86097221655052</v>
      </c>
      <c r="F19" s="822">
        <f t="shared" si="1"/>
        <v>0</v>
      </c>
      <c r="G19" s="822">
        <f t="shared" si="1"/>
        <v>46929.191009338654</v>
      </c>
      <c r="H19" s="822">
        <f t="shared" si="1"/>
        <v>9438.2179231718073</v>
      </c>
      <c r="I19" s="822">
        <f t="shared" si="1"/>
        <v>0</v>
      </c>
      <c r="J19" s="822">
        <f t="shared" si="1"/>
        <v>0</v>
      </c>
      <c r="K19" s="822">
        <f t="shared" si="1"/>
        <v>0</v>
      </c>
      <c r="L19" s="822">
        <f t="shared" si="1"/>
        <v>0</v>
      </c>
      <c r="M19" s="822">
        <f t="shared" si="1"/>
        <v>2319.2740238740971</v>
      </c>
      <c r="N19" s="822">
        <f t="shared" si="1"/>
        <v>0</v>
      </c>
      <c r="O19" s="822">
        <f t="shared" si="1"/>
        <v>0</v>
      </c>
      <c r="P19" s="823">
        <f t="shared" si="1"/>
        <v>0</v>
      </c>
      <c r="Q19" s="824">
        <f t="shared" si="1"/>
        <v>60515.979435551948</v>
      </c>
      <c r="R19" s="82"/>
      <c r="S19" s="82"/>
      <c r="T19" s="82"/>
    </row>
    <row r="20" spans="1:20" s="552" customFormat="1" ht="17.25" thickTop="1" thickBot="1">
      <c r="A20" s="825" t="s">
        <v>119</v>
      </c>
      <c r="B20" s="826">
        <f ca="1">B19+B14</f>
        <v>71718.082917777065</v>
      </c>
      <c r="C20" s="826">
        <f t="shared" ref="C20:Q20" ca="1" si="2">C19+C14</f>
        <v>0</v>
      </c>
      <c r="D20" s="826">
        <f t="shared" ca="1" si="2"/>
        <v>497942.20605015865</v>
      </c>
      <c r="E20" s="826">
        <f t="shared" si="2"/>
        <v>1691.7126367253791</v>
      </c>
      <c r="F20" s="826">
        <f t="shared" ca="1" si="2"/>
        <v>20535.963105217365</v>
      </c>
      <c r="G20" s="826">
        <f t="shared" si="2"/>
        <v>46929.191009338654</v>
      </c>
      <c r="H20" s="826">
        <f t="shared" si="2"/>
        <v>9438.2179231718073</v>
      </c>
      <c r="I20" s="826">
        <f t="shared" si="2"/>
        <v>0</v>
      </c>
      <c r="J20" s="826">
        <f t="shared" si="2"/>
        <v>21.56917533962778</v>
      </c>
      <c r="K20" s="826">
        <f t="shared" si="2"/>
        <v>0</v>
      </c>
      <c r="L20" s="826">
        <f t="shared" ca="1" si="2"/>
        <v>0</v>
      </c>
      <c r="M20" s="826">
        <f t="shared" si="2"/>
        <v>2319.2740238740971</v>
      </c>
      <c r="N20" s="826">
        <f t="shared" ca="1" si="2"/>
        <v>4836.5092172339555</v>
      </c>
      <c r="O20" s="826">
        <f t="shared" si="2"/>
        <v>87.546666666666667</v>
      </c>
      <c r="P20" s="827">
        <f t="shared" si="2"/>
        <v>0</v>
      </c>
      <c r="Q20" s="828">
        <f t="shared" ca="1" si="2"/>
        <v>655520.27272550319</v>
      </c>
      <c r="R20" s="82"/>
      <c r="S20" s="82"/>
      <c r="T20" s="82"/>
    </row>
    <row r="21" spans="1:20" ht="15.75" customHeight="1" thickBot="1">
      <c r="A21" s="829"/>
      <c r="B21" s="830"/>
      <c r="C21" s="830"/>
      <c r="D21" s="830"/>
      <c r="E21" s="830"/>
      <c r="F21" s="830"/>
      <c r="G21" s="830"/>
      <c r="H21" s="830"/>
      <c r="I21" s="830"/>
      <c r="J21" s="830"/>
      <c r="K21" s="830"/>
      <c r="L21" s="830"/>
      <c r="M21" s="830"/>
      <c r="N21" s="830"/>
      <c r="O21" s="830"/>
      <c r="P21" s="830"/>
      <c r="Q21" s="830"/>
    </row>
    <row r="22" spans="1:20" ht="41.25" customHeight="1" thickTop="1" thickBot="1">
      <c r="A22" s="831" t="s">
        <v>378</v>
      </c>
      <c r="B22" s="832">
        <f>'EF ele_warmte'!B5</f>
        <v>0</v>
      </c>
      <c r="C22" s="833"/>
      <c r="D22" s="834"/>
      <c r="E22" s="833"/>
      <c r="F22" s="833"/>
      <c r="G22" s="833"/>
      <c r="H22" s="833"/>
      <c r="I22" s="833"/>
      <c r="J22" s="833"/>
      <c r="K22" s="833"/>
      <c r="L22" s="833"/>
      <c r="M22" s="833"/>
      <c r="N22" s="833"/>
      <c r="O22" s="833"/>
      <c r="P22" s="833"/>
      <c r="Q22" s="833"/>
    </row>
    <row r="23" spans="1:20" ht="30.75" thickTop="1" thickBot="1">
      <c r="A23" s="835" t="s">
        <v>379</v>
      </c>
      <c r="B23" s="836" t="s">
        <v>217</v>
      </c>
      <c r="C23" s="837"/>
      <c r="D23" s="837"/>
      <c r="E23" s="837"/>
      <c r="F23" s="837"/>
      <c r="G23" s="838"/>
      <c r="H23" s="839"/>
      <c r="I23" s="839"/>
      <c r="J23" s="839"/>
      <c r="K23" s="839"/>
      <c r="L23" s="839"/>
      <c r="M23" s="839"/>
      <c r="N23" s="839"/>
      <c r="O23" s="839"/>
      <c r="P23" s="839"/>
      <c r="Q23" s="839"/>
    </row>
    <row r="24" spans="1:20" ht="15" thickTop="1">
      <c r="A24" s="1039"/>
      <c r="B24" s="1039"/>
      <c r="C24" s="840"/>
      <c r="D24" s="839"/>
      <c r="E24" s="839"/>
      <c r="F24" s="839"/>
      <c r="G24" s="839"/>
      <c r="H24" s="839"/>
      <c r="I24" s="839"/>
      <c r="J24" s="839"/>
      <c r="K24" s="839"/>
      <c r="L24" s="839"/>
      <c r="M24" s="839"/>
      <c r="N24" s="839"/>
      <c r="O24" s="839"/>
      <c r="P24" s="839"/>
      <c r="Q24" s="839"/>
    </row>
    <row r="25" spans="1:20" ht="15.75">
      <c r="A25" s="841" t="s">
        <v>243</v>
      </c>
      <c r="B25" s="840"/>
      <c r="C25" s="840"/>
      <c r="D25" s="839"/>
      <c r="E25" s="839"/>
      <c r="F25" s="839"/>
      <c r="G25" s="839"/>
      <c r="H25" s="839"/>
      <c r="I25" s="839"/>
      <c r="J25" s="839"/>
      <c r="K25" s="839"/>
      <c r="L25" s="839"/>
      <c r="M25" s="839"/>
      <c r="N25" s="839"/>
      <c r="O25" s="839"/>
      <c r="P25" s="839"/>
      <c r="Q25" s="839"/>
    </row>
    <row r="26" spans="1:20">
      <c r="A26" s="991"/>
      <c r="B26" s="991"/>
      <c r="C26" s="991"/>
      <c r="D26" s="991"/>
      <c r="E26" s="991"/>
      <c r="F26" s="991"/>
      <c r="G26" s="991"/>
      <c r="H26" s="991"/>
      <c r="I26" s="991"/>
      <c r="J26" s="991"/>
      <c r="K26" s="991"/>
      <c r="L26" s="991"/>
      <c r="M26" s="991"/>
      <c r="N26" s="991"/>
      <c r="O26" s="991"/>
      <c r="P26" s="991"/>
      <c r="Q26" s="991"/>
    </row>
    <row r="27" spans="1:20" ht="15.75" thickBot="1">
      <c r="A27" s="842"/>
      <c r="B27" s="843"/>
      <c r="C27" s="843"/>
      <c r="D27" s="843"/>
      <c r="E27" s="843"/>
      <c r="F27" s="843"/>
      <c r="G27" s="843"/>
      <c r="H27" s="843"/>
      <c r="I27" s="843"/>
      <c r="J27" s="843"/>
      <c r="K27" s="843"/>
      <c r="L27" s="843"/>
      <c r="M27" s="843"/>
      <c r="N27" s="843"/>
      <c r="O27" s="843"/>
      <c r="P27" s="843"/>
      <c r="Q27" s="843"/>
    </row>
    <row r="28" spans="1:20" ht="17.25" thickTop="1" thickBot="1">
      <c r="A28" s="1040"/>
      <c r="B28" s="1042" t="s">
        <v>380</v>
      </c>
      <c r="C28" s="1043"/>
      <c r="D28" s="1043"/>
      <c r="E28" s="1043"/>
      <c r="F28" s="1043"/>
      <c r="G28" s="1043"/>
      <c r="H28" s="1043"/>
      <c r="I28" s="1043"/>
      <c r="J28" s="1043"/>
      <c r="K28" s="1043"/>
      <c r="L28" s="1043"/>
      <c r="M28" s="1043"/>
      <c r="N28" s="1043"/>
      <c r="O28" s="1043"/>
      <c r="P28" s="1043"/>
      <c r="Q28" s="1044"/>
    </row>
    <row r="29" spans="1:20" ht="15.75" thickTop="1">
      <c r="A29" s="1041"/>
      <c r="B29" s="1045" t="s">
        <v>21</v>
      </c>
      <c r="C29" s="983" t="s">
        <v>244</v>
      </c>
      <c r="D29" s="1047" t="s">
        <v>203</v>
      </c>
      <c r="E29" s="1048"/>
      <c r="F29" s="1048"/>
      <c r="G29" s="1048"/>
      <c r="H29" s="1048"/>
      <c r="I29" s="1048"/>
      <c r="J29" s="1048"/>
      <c r="K29" s="1049"/>
      <c r="L29" s="1047" t="s">
        <v>204</v>
      </c>
      <c r="M29" s="1048"/>
      <c r="N29" s="1048"/>
      <c r="O29" s="1048"/>
      <c r="P29" s="1048"/>
      <c r="Q29" s="992" t="s">
        <v>119</v>
      </c>
    </row>
    <row r="30" spans="1:20" ht="60.75" thickBot="1">
      <c r="A30" s="1041"/>
      <c r="B30" s="1046"/>
      <c r="C30" s="986"/>
      <c r="D30" s="844" t="s">
        <v>205</v>
      </c>
      <c r="E30" s="844" t="s">
        <v>206</v>
      </c>
      <c r="F30" s="844" t="s">
        <v>207</v>
      </c>
      <c r="G30" s="844" t="s">
        <v>208</v>
      </c>
      <c r="H30" s="844" t="s">
        <v>123</v>
      </c>
      <c r="I30" s="844" t="s">
        <v>209</v>
      </c>
      <c r="J30" s="845" t="s">
        <v>245</v>
      </c>
      <c r="K30" s="845" t="s">
        <v>211</v>
      </c>
      <c r="L30" s="844" t="s">
        <v>213</v>
      </c>
      <c r="M30" s="844" t="s">
        <v>246</v>
      </c>
      <c r="N30" s="844" t="s">
        <v>247</v>
      </c>
      <c r="O30" s="844" t="s">
        <v>248</v>
      </c>
      <c r="P30" s="845" t="s">
        <v>216</v>
      </c>
      <c r="Q30" s="994"/>
    </row>
    <row r="31" spans="1:20" ht="16.5" thickTop="1">
      <c r="A31" s="846" t="s">
        <v>377</v>
      </c>
      <c r="B31" s="847" t="s">
        <v>249</v>
      </c>
      <c r="C31" s="848"/>
      <c r="D31" s="849"/>
      <c r="E31" s="849"/>
      <c r="F31" s="849"/>
      <c r="G31" s="849"/>
      <c r="H31" s="849"/>
      <c r="I31" s="849"/>
      <c r="J31" s="849"/>
      <c r="K31" s="849"/>
      <c r="L31" s="850"/>
      <c r="M31" s="850"/>
      <c r="N31" s="849"/>
      <c r="O31" s="850"/>
      <c r="P31" s="851"/>
      <c r="Q31" s="852"/>
    </row>
    <row r="32" spans="1:20">
      <c r="A32" s="853" t="s">
        <v>234</v>
      </c>
      <c r="B32" s="802">
        <f ca="1">'Eigen gebouwen'!B19</f>
        <v>356.75137474837135</v>
      </c>
      <c r="C32" s="802">
        <f ca="1">'Eigen gebouwen'!C19</f>
        <v>0</v>
      </c>
      <c r="D32" s="802">
        <f>'Eigen gebouwen'!D19</f>
        <v>1318.7582120000002</v>
      </c>
      <c r="E32" s="802">
        <f>'Eigen gebouwen'!E19</f>
        <v>0</v>
      </c>
      <c r="F32" s="802">
        <f>'Eigen gebouwen'!F19</f>
        <v>80.6555166623464</v>
      </c>
      <c r="G32" s="802">
        <f>'Eigen gebouwen'!G19</f>
        <v>0</v>
      </c>
      <c r="H32" s="802">
        <f>'Eigen gebouwen'!H19</f>
        <v>0</v>
      </c>
      <c r="I32" s="802">
        <f>'Eigen gebouwen'!I19</f>
        <v>0</v>
      </c>
      <c r="J32" s="802">
        <f>'Eigen gebouwen'!J19</f>
        <v>0</v>
      </c>
      <c r="K32" s="802">
        <f>'Eigen gebouwen'!K19</f>
        <v>0</v>
      </c>
      <c r="L32" s="802">
        <f>'Eigen gebouwen'!L19</f>
        <v>0</v>
      </c>
      <c r="M32" s="802">
        <f>'Eigen gebouwen'!M19</f>
        <v>0</v>
      </c>
      <c r="N32" s="802">
        <f>'Eigen gebouwen'!N19</f>
        <v>0</v>
      </c>
      <c r="O32" s="802">
        <f>'Eigen gebouwen'!O19</f>
        <v>0</v>
      </c>
      <c r="P32" s="803">
        <f>'Eigen gebouwen'!P19</f>
        <v>0</v>
      </c>
      <c r="Q32" s="854">
        <f ca="1">SUM(B32:P32)</f>
        <v>1756.1651034107178</v>
      </c>
    </row>
    <row r="33" spans="1:17">
      <c r="A33" s="805" t="s">
        <v>235</v>
      </c>
      <c r="B33" s="802">
        <f ca="1">tertiair!B20+'openbare verlichting'!B12+landbouw!B12</f>
        <v>5751.0534368227973</v>
      </c>
      <c r="C33" s="802">
        <f ca="1">tertiair!C20+landbouw!C12</f>
        <v>0</v>
      </c>
      <c r="D33" s="802">
        <f ca="1">tertiair!D20+landbouw!D12</f>
        <v>8749.5357739723058</v>
      </c>
      <c r="E33" s="802">
        <f>tertiair!E20+landbouw!E12</f>
        <v>123.24171684634973</v>
      </c>
      <c r="F33" s="802">
        <f ca="1">tertiair!F20+landbouw!F12</f>
        <v>1711.4200422943284</v>
      </c>
      <c r="G33" s="802">
        <f>tertiair!G20+landbouw!G12</f>
        <v>0</v>
      </c>
      <c r="H33" s="802">
        <f>tertiair!H20+landbouw!H12</f>
        <v>0</v>
      </c>
      <c r="I33" s="802">
        <f>tertiair!I20+landbouw!I12</f>
        <v>0</v>
      </c>
      <c r="J33" s="802">
        <f>tertiair!J20+landbouw!J12</f>
        <v>5.5076001053554542</v>
      </c>
      <c r="K33" s="802">
        <f>tertiair!K20+landbouw!K12</f>
        <v>0</v>
      </c>
      <c r="L33" s="802">
        <f ca="1">tertiair!L20+landbouw!L12</f>
        <v>0</v>
      </c>
      <c r="M33" s="802">
        <f>tertiair!M20+landbouw!M12</f>
        <v>0</v>
      </c>
      <c r="N33" s="802">
        <f ca="1">tertiair!N20+landbouw!N12</f>
        <v>0</v>
      </c>
      <c r="O33" s="802">
        <f>tertiair!O20+landbouw!O12</f>
        <v>0</v>
      </c>
      <c r="P33" s="803">
        <f>tertiair!P20+landbouw!P12</f>
        <v>0</v>
      </c>
      <c r="Q33" s="855">
        <f ca="1">SUM(B33:P33)</f>
        <v>16340.758570041136</v>
      </c>
    </row>
    <row r="34" spans="1:17">
      <c r="A34" s="856" t="s">
        <v>236</v>
      </c>
      <c r="B34" s="802">
        <f ca="1">huishoudens!B12</f>
        <v>7689.0647468260731</v>
      </c>
      <c r="C34" s="802">
        <f ca="1">huishoudens!C12</f>
        <v>0</v>
      </c>
      <c r="D34" s="802">
        <f>huishoudens!D12</f>
        <v>25460.391295013007</v>
      </c>
      <c r="E34" s="802">
        <f>huishoudens!E12</f>
        <v>161.30543784439664</v>
      </c>
      <c r="F34" s="802">
        <f>huishoudens!F12</f>
        <v>3461.7290637594642</v>
      </c>
      <c r="G34" s="802">
        <f>huishoudens!G12</f>
        <v>0</v>
      </c>
      <c r="H34" s="802">
        <f>huishoudens!H12</f>
        <v>0</v>
      </c>
      <c r="I34" s="802">
        <f>huishoudens!I12</f>
        <v>0</v>
      </c>
      <c r="J34" s="802">
        <f>huishoudens!J12</f>
        <v>0</v>
      </c>
      <c r="K34" s="802">
        <f>huishoudens!K12</f>
        <v>0</v>
      </c>
      <c r="L34" s="802">
        <f>huishoudens!L12</f>
        <v>0</v>
      </c>
      <c r="M34" s="802">
        <f>huishoudens!M12</f>
        <v>0</v>
      </c>
      <c r="N34" s="802">
        <f>huishoudens!N12</f>
        <v>0</v>
      </c>
      <c r="O34" s="802">
        <f>huishoudens!O12</f>
        <v>0</v>
      </c>
      <c r="P34" s="803">
        <f>huishoudens!P12</f>
        <v>0</v>
      </c>
      <c r="Q34" s="855">
        <f ca="1">SUM(B34:P34)</f>
        <v>36772.490543442946</v>
      </c>
    </row>
    <row r="35" spans="1:17">
      <c r="A35" s="856" t="s">
        <v>592</v>
      </c>
      <c r="B35" s="802">
        <f ca="1">'Eigen openbare verlichting'!B19</f>
        <v>208.5736437773823</v>
      </c>
      <c r="C35" s="802"/>
      <c r="D35" s="802"/>
      <c r="E35" s="802"/>
      <c r="F35" s="802"/>
      <c r="G35" s="802"/>
      <c r="H35" s="802"/>
      <c r="I35" s="802"/>
      <c r="J35" s="802"/>
      <c r="K35" s="802"/>
      <c r="L35" s="802"/>
      <c r="M35" s="802"/>
      <c r="N35" s="802"/>
      <c r="O35" s="802"/>
      <c r="P35" s="803"/>
      <c r="Q35" s="855">
        <f ca="1">SUM(B35:P35)</f>
        <v>208.5736437773823</v>
      </c>
    </row>
    <row r="36" spans="1:17" ht="29.25" thickBot="1">
      <c r="A36" s="857" t="s">
        <v>237</v>
      </c>
      <c r="B36" s="818">
        <f ca="1">industrie!B22</f>
        <v>428.67729784439933</v>
      </c>
      <c r="C36" s="818">
        <f ca="1">industrie!C22</f>
        <v>0</v>
      </c>
      <c r="D36" s="818">
        <f>industrie!D22</f>
        <v>65055.47524498585</v>
      </c>
      <c r="E36" s="818">
        <f>industrie!E22</f>
        <v>5.5251731527577528</v>
      </c>
      <c r="F36" s="818">
        <f>industrie!F22</f>
        <v>229.29752637689708</v>
      </c>
      <c r="G36" s="818">
        <f>industrie!G22</f>
        <v>0</v>
      </c>
      <c r="H36" s="818">
        <f>industrie!H22</f>
        <v>0</v>
      </c>
      <c r="I36" s="818">
        <f>industrie!I22</f>
        <v>0</v>
      </c>
      <c r="J36" s="818">
        <f>industrie!J22</f>
        <v>2.1278879648727789</v>
      </c>
      <c r="K36" s="818">
        <f>industrie!K22</f>
        <v>0</v>
      </c>
      <c r="L36" s="818">
        <f>industrie!L22</f>
        <v>0</v>
      </c>
      <c r="M36" s="818">
        <f>industrie!M22</f>
        <v>0</v>
      </c>
      <c r="N36" s="818">
        <f>industrie!N22</f>
        <v>0</v>
      </c>
      <c r="O36" s="818">
        <f>industrie!O22</f>
        <v>0</v>
      </c>
      <c r="P36" s="819">
        <f>industrie!P22</f>
        <v>0</v>
      </c>
      <c r="Q36" s="858">
        <f ca="1">SUM(B36:P36)</f>
        <v>65721.103130324787</v>
      </c>
    </row>
    <row r="37" spans="1:17" ht="15.75" thickBot="1">
      <c r="A37" s="859" t="s">
        <v>238</v>
      </c>
      <c r="B37" s="860">
        <f ca="1">SUM(B32:B36)</f>
        <v>14434.120500019024</v>
      </c>
      <c r="C37" s="861">
        <f t="shared" ref="C37:Q37" ca="1" si="3">SUM(C32:C36)</f>
        <v>0</v>
      </c>
      <c r="D37" s="861">
        <f t="shared" ca="1" si="3"/>
        <v>100584.16052597117</v>
      </c>
      <c r="E37" s="861">
        <f t="shared" si="3"/>
        <v>290.07232784350413</v>
      </c>
      <c r="F37" s="861">
        <f t="shared" ca="1" si="3"/>
        <v>5483.1021490930361</v>
      </c>
      <c r="G37" s="861">
        <f t="shared" si="3"/>
        <v>0</v>
      </c>
      <c r="H37" s="861">
        <f t="shared" si="3"/>
        <v>0</v>
      </c>
      <c r="I37" s="861">
        <f t="shared" si="3"/>
        <v>0</v>
      </c>
      <c r="J37" s="861">
        <f t="shared" si="3"/>
        <v>7.6354880702282326</v>
      </c>
      <c r="K37" s="861">
        <f t="shared" si="3"/>
        <v>0</v>
      </c>
      <c r="L37" s="861">
        <f t="shared" ca="1" si="3"/>
        <v>0</v>
      </c>
      <c r="M37" s="861">
        <f t="shared" si="3"/>
        <v>0</v>
      </c>
      <c r="N37" s="861">
        <f t="shared" ca="1" si="3"/>
        <v>0</v>
      </c>
      <c r="O37" s="861">
        <f t="shared" si="3"/>
        <v>0</v>
      </c>
      <c r="P37" s="862">
        <f t="shared" si="3"/>
        <v>0</v>
      </c>
      <c r="Q37" s="863">
        <f t="shared" ca="1" si="3"/>
        <v>120799.09099099698</v>
      </c>
    </row>
    <row r="38" spans="1:17" ht="15.75">
      <c r="A38" s="864" t="s">
        <v>239</v>
      </c>
      <c r="B38" s="847"/>
      <c r="C38" s="848"/>
      <c r="D38" s="848"/>
      <c r="E38" s="848"/>
      <c r="F38" s="848"/>
      <c r="G38" s="848"/>
      <c r="H38" s="848"/>
      <c r="I38" s="848"/>
      <c r="J38" s="848"/>
      <c r="K38" s="848"/>
      <c r="L38" s="865"/>
      <c r="M38" s="865"/>
      <c r="N38" s="848"/>
      <c r="O38" s="865"/>
      <c r="P38" s="865"/>
      <c r="Q38" s="852"/>
    </row>
    <row r="39" spans="1:17">
      <c r="A39" s="856" t="s">
        <v>240</v>
      </c>
      <c r="B39" s="802">
        <f ca="1">'Eigen vloot'!B31</f>
        <v>0</v>
      </c>
      <c r="C39" s="802">
        <f>'Eigen vloot'!C31</f>
        <v>0</v>
      </c>
      <c r="D39" s="802">
        <f>'Eigen vloot'!D31</f>
        <v>0</v>
      </c>
      <c r="E39" s="802">
        <f>'Eigen vloot'!E31</f>
        <v>12.772621905087053</v>
      </c>
      <c r="F39" s="802">
        <f>'Eigen vloot'!F31</f>
        <v>0</v>
      </c>
      <c r="G39" s="802">
        <f>'Eigen vloot'!G31</f>
        <v>84.096536177530666</v>
      </c>
      <c r="H39" s="802">
        <f>'Eigen vloot'!H31</f>
        <v>9.6829109400188589</v>
      </c>
      <c r="I39" s="802">
        <f>'Eigen vloot'!I31</f>
        <v>0</v>
      </c>
      <c r="J39" s="802">
        <f>'Eigen vloot'!J31</f>
        <v>0</v>
      </c>
      <c r="K39" s="802">
        <f>'Eigen vloot'!K31</f>
        <v>0</v>
      </c>
      <c r="L39" s="802">
        <f>'Eigen vloot'!L31</f>
        <v>0</v>
      </c>
      <c r="M39" s="802">
        <f>'Eigen vloot'!M31</f>
        <v>0</v>
      </c>
      <c r="N39" s="802">
        <f>'Eigen vloot'!N31</f>
        <v>0</v>
      </c>
      <c r="O39" s="802">
        <f>'Eigen vloot'!O31</f>
        <v>0</v>
      </c>
      <c r="P39" s="802">
        <f>'Eigen vloot'!P31</f>
        <v>0</v>
      </c>
      <c r="Q39" s="855">
        <f ca="1">SUM(B39:P39)</f>
        <v>106.55206902263657</v>
      </c>
    </row>
    <row r="40" spans="1:17">
      <c r="A40" s="856" t="s">
        <v>241</v>
      </c>
      <c r="B40" s="802">
        <f ca="1">transport!B62</f>
        <v>290.41950848276849</v>
      </c>
      <c r="C40" s="802">
        <f ca="1">transport!C62</f>
        <v>0</v>
      </c>
      <c r="D40" s="802">
        <f>transport!D62</f>
        <v>0</v>
      </c>
      <c r="E40" s="802">
        <f>transport!E62</f>
        <v>0</v>
      </c>
      <c r="F40" s="802">
        <f>transport!F62</f>
        <v>0</v>
      </c>
      <c r="G40" s="802">
        <f>transport!G62</f>
        <v>195.67051219731735</v>
      </c>
      <c r="H40" s="802">
        <f>transport!H62</f>
        <v>0</v>
      </c>
      <c r="I40" s="802">
        <f>transport!I62</f>
        <v>0</v>
      </c>
      <c r="J40" s="802">
        <f>transport!J62</f>
        <v>0</v>
      </c>
      <c r="K40" s="802">
        <f>transport!K62</f>
        <v>0</v>
      </c>
      <c r="L40" s="802">
        <f>transport!L62</f>
        <v>0</v>
      </c>
      <c r="M40" s="802">
        <f>transport!M62</f>
        <v>0</v>
      </c>
      <c r="N40" s="802">
        <f>transport!N62</f>
        <v>0</v>
      </c>
      <c r="O40" s="802">
        <f>transport!O62</f>
        <v>0</v>
      </c>
      <c r="P40" s="803">
        <f>transport!P62</f>
        <v>0</v>
      </c>
      <c r="Q40" s="855">
        <f ca="1">SUM(B40:P40)</f>
        <v>486.09002068008584</v>
      </c>
    </row>
    <row r="41" spans="1:17" ht="15" thickBot="1">
      <c r="A41" s="866" t="s">
        <v>320</v>
      </c>
      <c r="B41" s="818">
        <f ca="1">transport!B21</f>
        <v>1.8091297791301694E-2</v>
      </c>
      <c r="C41" s="818">
        <f>transport!C21</f>
        <v>0</v>
      </c>
      <c r="D41" s="818">
        <f>transport!D21</f>
        <v>0.16509616089415893</v>
      </c>
      <c r="E41" s="818">
        <f>transport!E21</f>
        <v>81.173818788069923</v>
      </c>
      <c r="F41" s="818">
        <f>transport!F21</f>
        <v>0</v>
      </c>
      <c r="G41" s="818">
        <f>transport!G21</f>
        <v>12246.878320192392</v>
      </c>
      <c r="H41" s="818">
        <f>transport!H21</f>
        <v>2340.0250614938209</v>
      </c>
      <c r="I41" s="818">
        <f>transport!I21</f>
        <v>0</v>
      </c>
      <c r="J41" s="818">
        <f>transport!J21</f>
        <v>0</v>
      </c>
      <c r="K41" s="818">
        <f>transport!K21</f>
        <v>0</v>
      </c>
      <c r="L41" s="818">
        <f>transport!L21</f>
        <v>0</v>
      </c>
      <c r="M41" s="818">
        <f>transport!M21</f>
        <v>0</v>
      </c>
      <c r="N41" s="818">
        <f>transport!N21</f>
        <v>0</v>
      </c>
      <c r="O41" s="818">
        <f>transport!O21</f>
        <v>0</v>
      </c>
      <c r="P41" s="819">
        <f>transport!P21</f>
        <v>0</v>
      </c>
      <c r="Q41" s="858">
        <f ca="1">SUM(B41:P41)</f>
        <v>14668.260387932969</v>
      </c>
    </row>
    <row r="42" spans="1:17" ht="15.75" thickBot="1">
      <c r="A42" s="867" t="s">
        <v>242</v>
      </c>
      <c r="B42" s="861">
        <f t="shared" ref="B42:Q42" ca="1" si="4">SUM(B39:B41)</f>
        <v>290.43759978055982</v>
      </c>
      <c r="C42" s="861">
        <f t="shared" ca="1" si="4"/>
        <v>0</v>
      </c>
      <c r="D42" s="861">
        <f t="shared" si="4"/>
        <v>0.16509616089415893</v>
      </c>
      <c r="E42" s="861">
        <f t="shared" si="4"/>
        <v>93.946440693156973</v>
      </c>
      <c r="F42" s="861">
        <f t="shared" si="4"/>
        <v>0</v>
      </c>
      <c r="G42" s="861">
        <f t="shared" si="4"/>
        <v>12526.64536856724</v>
      </c>
      <c r="H42" s="861">
        <f t="shared" si="4"/>
        <v>2349.7079724338396</v>
      </c>
      <c r="I42" s="861">
        <f t="shared" si="4"/>
        <v>0</v>
      </c>
      <c r="J42" s="861">
        <f t="shared" si="4"/>
        <v>0</v>
      </c>
      <c r="K42" s="861">
        <f t="shared" si="4"/>
        <v>0</v>
      </c>
      <c r="L42" s="861">
        <f t="shared" si="4"/>
        <v>0</v>
      </c>
      <c r="M42" s="861">
        <f t="shared" si="4"/>
        <v>0</v>
      </c>
      <c r="N42" s="861">
        <f t="shared" si="4"/>
        <v>0</v>
      </c>
      <c r="O42" s="861">
        <f t="shared" si="4"/>
        <v>0</v>
      </c>
      <c r="P42" s="862">
        <f t="shared" si="4"/>
        <v>0</v>
      </c>
      <c r="Q42" s="863">
        <f t="shared" ca="1" si="4"/>
        <v>15260.902477635691</v>
      </c>
    </row>
    <row r="43" spans="1:17" ht="15.75">
      <c r="A43" s="868" t="s">
        <v>250</v>
      </c>
      <c r="B43" s="869"/>
      <c r="C43" s="848"/>
      <c r="D43" s="848"/>
      <c r="E43" s="848"/>
      <c r="F43" s="848"/>
      <c r="G43" s="848"/>
      <c r="H43" s="848"/>
      <c r="I43" s="848"/>
      <c r="J43" s="848"/>
      <c r="K43" s="848"/>
      <c r="L43" s="865"/>
      <c r="M43" s="865"/>
      <c r="N43" s="848"/>
      <c r="O43" s="865"/>
      <c r="P43" s="865"/>
      <c r="Q43" s="852"/>
    </row>
    <row r="44" spans="1:17" ht="15">
      <c r="A44" s="870" t="s">
        <v>251</v>
      </c>
      <c r="B44" s="1029"/>
      <c r="C44" s="1030"/>
      <c r="D44" s="1030"/>
      <c r="E44" s="1030"/>
      <c r="F44" s="1030"/>
      <c r="G44" s="1030"/>
      <c r="H44" s="1030"/>
      <c r="I44" s="1030"/>
      <c r="J44" s="1030"/>
      <c r="K44" s="1030"/>
      <c r="L44" s="1030"/>
      <c r="M44" s="1030"/>
      <c r="N44" s="1030"/>
      <c r="O44" s="1030"/>
      <c r="P44" s="1030"/>
      <c r="Q44" s="871"/>
    </row>
    <row r="45" spans="1:17" ht="15">
      <c r="A45" s="872" t="s">
        <v>252</v>
      </c>
      <c r="B45" s="1031"/>
      <c r="C45" s="1032"/>
      <c r="D45" s="1032"/>
      <c r="E45" s="1032"/>
      <c r="F45" s="1032"/>
      <c r="G45" s="1032"/>
      <c r="H45" s="1032"/>
      <c r="I45" s="1032"/>
      <c r="J45" s="1032"/>
      <c r="K45" s="1032"/>
      <c r="L45" s="1032"/>
      <c r="M45" s="1032"/>
      <c r="N45" s="1032"/>
      <c r="O45" s="1032"/>
      <c r="P45" s="1032"/>
      <c r="Q45" s="873"/>
    </row>
    <row r="46" spans="1:17" ht="15" thickBot="1">
      <c r="A46" s="874" t="s">
        <v>253</v>
      </c>
      <c r="B46" s="1031"/>
      <c r="C46" s="1032"/>
      <c r="D46" s="1032"/>
      <c r="E46" s="1032"/>
      <c r="F46" s="1032"/>
      <c r="G46" s="1032"/>
      <c r="H46" s="1032"/>
      <c r="I46" s="1032"/>
      <c r="J46" s="1032"/>
      <c r="K46" s="1032"/>
      <c r="L46" s="1032"/>
      <c r="M46" s="1032"/>
      <c r="N46" s="1032"/>
      <c r="O46" s="1032"/>
      <c r="P46" s="1032"/>
      <c r="Q46" s="858"/>
    </row>
    <row r="47" spans="1:17" ht="17.25" thickTop="1" thickBot="1">
      <c r="A47" s="875" t="s">
        <v>119</v>
      </c>
      <c r="B47" s="876">
        <f ca="1">B37+B42</f>
        <v>14724.558099799584</v>
      </c>
      <c r="C47" s="877">
        <f t="shared" ref="C47:P47" ca="1" si="5">C37+C42</f>
        <v>0</v>
      </c>
      <c r="D47" s="877">
        <f t="shared" ca="1" si="5"/>
        <v>100584.32562213206</v>
      </c>
      <c r="E47" s="877">
        <f t="shared" si="5"/>
        <v>384.01876853666113</v>
      </c>
      <c r="F47" s="877">
        <f t="shared" ca="1" si="5"/>
        <v>5483.1021490930361</v>
      </c>
      <c r="G47" s="877">
        <f t="shared" si="5"/>
        <v>12526.64536856724</v>
      </c>
      <c r="H47" s="877">
        <f t="shared" si="5"/>
        <v>2349.7079724338396</v>
      </c>
      <c r="I47" s="877">
        <f t="shared" si="5"/>
        <v>0</v>
      </c>
      <c r="J47" s="877">
        <f t="shared" si="5"/>
        <v>7.6354880702282326</v>
      </c>
      <c r="K47" s="877">
        <f t="shared" si="5"/>
        <v>0</v>
      </c>
      <c r="L47" s="877">
        <f t="shared" ca="1" si="5"/>
        <v>0</v>
      </c>
      <c r="M47" s="877">
        <f t="shared" si="5"/>
        <v>0</v>
      </c>
      <c r="N47" s="877">
        <f t="shared" ca="1" si="5"/>
        <v>0</v>
      </c>
      <c r="O47" s="877">
        <f t="shared" si="5"/>
        <v>0</v>
      </c>
      <c r="P47" s="878">
        <f t="shared" si="5"/>
        <v>0</v>
      </c>
      <c r="Q47" s="879">
        <f ca="1">Q37+Q42</f>
        <v>136059.99346863266</v>
      </c>
    </row>
    <row r="48" spans="1:17" ht="15.75" thickTop="1" thickBot="1">
      <c r="A48" s="880"/>
      <c r="B48" s="881"/>
      <c r="C48" s="881"/>
      <c r="D48" s="882"/>
      <c r="E48" s="882"/>
      <c r="F48" s="882"/>
      <c r="G48" s="882"/>
      <c r="H48" s="882"/>
      <c r="I48" s="882"/>
      <c r="J48" s="882"/>
      <c r="K48" s="882"/>
      <c r="L48" s="882"/>
      <c r="M48" s="882"/>
      <c r="N48" s="882"/>
      <c r="O48" s="882"/>
      <c r="P48" s="882"/>
      <c r="Q48" s="882"/>
    </row>
    <row r="49" spans="1:17" ht="20.25" thickTop="1" thickBot="1">
      <c r="A49" s="883" t="s">
        <v>381</v>
      </c>
      <c r="B49" s="952">
        <f ca="1">IF(ISERROR(B47/B20),0,B47/B20)</f>
        <v>0.20531165224649006</v>
      </c>
      <c r="C49" s="952">
        <f ca="1">IF(ISERROR(C47/C20),0,C47/C20)</f>
        <v>0</v>
      </c>
      <c r="D49" s="952">
        <f ca="1">IF(ISERROR(D47/D20),0,D47/D20)</f>
        <v>0.20200000000000004</v>
      </c>
      <c r="E49" s="952">
        <f t="shared" ref="E49:P49" si="6">IF(ISERROR(E47/E20),0,E47/E20)</f>
        <v>0.22700000000000004</v>
      </c>
      <c r="F49" s="952">
        <f t="shared" ca="1" si="6"/>
        <v>0.26700000000000002</v>
      </c>
      <c r="G49" s="952">
        <f t="shared" si="6"/>
        <v>0.26692651416203844</v>
      </c>
      <c r="H49" s="952">
        <f t="shared" si="6"/>
        <v>0.24895674072804166</v>
      </c>
      <c r="I49" s="952">
        <f t="shared" si="6"/>
        <v>0</v>
      </c>
      <c r="J49" s="952">
        <f t="shared" si="6"/>
        <v>0.35399999999999993</v>
      </c>
      <c r="K49" s="952">
        <f t="shared" si="6"/>
        <v>0</v>
      </c>
      <c r="L49" s="952">
        <f t="shared" ca="1" si="6"/>
        <v>0</v>
      </c>
      <c r="M49" s="952">
        <f t="shared" si="6"/>
        <v>0</v>
      </c>
      <c r="N49" s="952">
        <f t="shared" ca="1" si="6"/>
        <v>0</v>
      </c>
      <c r="O49" s="952">
        <f t="shared" si="6"/>
        <v>0</v>
      </c>
      <c r="P49" s="952">
        <f t="shared" si="6"/>
        <v>0</v>
      </c>
      <c r="Q49" s="882"/>
    </row>
    <row r="50" spans="1:17" ht="33" thickTop="1" thickBot="1">
      <c r="A50" s="884" t="s">
        <v>382</v>
      </c>
      <c r="B50" s="953">
        <f>'EF ele_warmte'!B6</f>
        <v>0.20810012923950225</v>
      </c>
      <c r="C50" s="954"/>
      <c r="D50" s="955"/>
      <c r="E50" s="956"/>
      <c r="F50" s="956"/>
      <c r="G50" s="956"/>
      <c r="H50" s="956"/>
      <c r="I50" s="956"/>
      <c r="J50" s="956"/>
      <c r="K50" s="956"/>
      <c r="L50" s="956"/>
      <c r="M50" s="956"/>
      <c r="N50" s="956"/>
      <c r="O50" s="956"/>
      <c r="P50" s="956"/>
      <c r="Q50" s="882"/>
    </row>
    <row r="51" spans="1:17" ht="15" thickTop="1">
      <c r="A51" s="885"/>
      <c r="B51" s="882"/>
      <c r="C51" s="882"/>
      <c r="D51" s="882"/>
      <c r="E51" s="882"/>
      <c r="F51" s="882"/>
      <c r="G51" s="882"/>
      <c r="H51" s="882"/>
      <c r="I51" s="882"/>
      <c r="J51" s="882"/>
      <c r="K51" s="882"/>
      <c r="L51" s="882"/>
      <c r="M51" s="882"/>
      <c r="N51" s="882"/>
      <c r="O51" s="882"/>
      <c r="P51" s="882"/>
      <c r="Q51" s="882"/>
    </row>
    <row r="52" spans="1:17" ht="18.75">
      <c r="A52" s="886" t="s">
        <v>383</v>
      </c>
      <c r="B52" s="839"/>
      <c r="C52" s="887"/>
      <c r="D52" s="839"/>
      <c r="E52" s="839"/>
      <c r="F52" s="839"/>
      <c r="G52" s="839"/>
      <c r="H52" s="839"/>
      <c r="I52" s="839"/>
      <c r="J52" s="839"/>
      <c r="K52" s="839"/>
      <c r="L52" s="839"/>
      <c r="M52" s="839"/>
      <c r="N52" s="839"/>
      <c r="O52" s="888"/>
      <c r="P52" s="888"/>
      <c r="Q52" s="888"/>
    </row>
    <row r="53" spans="1:17">
      <c r="A53" s="991"/>
      <c r="B53" s="991"/>
      <c r="C53" s="991"/>
      <c r="D53" s="991"/>
      <c r="E53" s="991"/>
      <c r="F53" s="991"/>
      <c r="G53" s="991"/>
      <c r="H53" s="991"/>
      <c r="I53" s="991"/>
      <c r="J53" s="991"/>
      <c r="K53" s="991"/>
      <c r="L53" s="991"/>
      <c r="M53" s="991"/>
      <c r="N53" s="991"/>
      <c r="O53" s="991"/>
      <c r="P53" s="991"/>
      <c r="Q53" s="889"/>
    </row>
    <row r="54" spans="1:17" ht="15.75" thickBot="1">
      <c r="A54" s="842"/>
      <c r="B54" s="843"/>
      <c r="C54" s="843"/>
      <c r="D54" s="843"/>
      <c r="E54" s="843"/>
      <c r="F54" s="843"/>
      <c r="G54" s="843"/>
      <c r="H54" s="843"/>
      <c r="I54" s="843"/>
      <c r="J54" s="843"/>
      <c r="K54" s="843"/>
      <c r="L54" s="843"/>
      <c r="M54" s="843"/>
      <c r="N54" s="843"/>
      <c r="O54" s="843"/>
      <c r="P54" s="843"/>
      <c r="Q54" s="843"/>
    </row>
    <row r="55" spans="1:17" ht="17.25" customHeight="1" thickTop="1" thickBot="1">
      <c r="A55" s="992" t="s">
        <v>254</v>
      </c>
      <c r="B55" s="992" t="s">
        <v>384</v>
      </c>
      <c r="C55" s="995" t="s">
        <v>385</v>
      </c>
      <c r="D55" s="996"/>
      <c r="E55" s="996"/>
      <c r="F55" s="996"/>
      <c r="G55" s="996"/>
      <c r="H55" s="996"/>
      <c r="I55" s="996"/>
      <c r="J55" s="996"/>
      <c r="K55" s="996"/>
      <c r="L55" s="997"/>
      <c r="M55" s="998" t="s">
        <v>386</v>
      </c>
      <c r="N55" s="1001" t="s">
        <v>387</v>
      </c>
      <c r="O55" s="998"/>
      <c r="P55" s="890"/>
      <c r="Q55" s="833"/>
    </row>
    <row r="56" spans="1:17" ht="15.75" customHeight="1" thickBot="1">
      <c r="A56" s="993"/>
      <c r="B56" s="993"/>
      <c r="C56" s="1033" t="s">
        <v>203</v>
      </c>
      <c r="D56" s="1034"/>
      <c r="E56" s="1034"/>
      <c r="F56" s="1034"/>
      <c r="G56" s="1035"/>
      <c r="H56" s="891" t="s">
        <v>258</v>
      </c>
      <c r="I56" s="892" t="s">
        <v>259</v>
      </c>
      <c r="J56" s="892" t="s">
        <v>247</v>
      </c>
      <c r="K56" s="892" t="s">
        <v>260</v>
      </c>
      <c r="L56" s="987" t="s">
        <v>130</v>
      </c>
      <c r="M56" s="999"/>
      <c r="N56" s="1002"/>
      <c r="O56" s="999"/>
      <c r="P56" s="890"/>
      <c r="Q56" s="833"/>
    </row>
    <row r="57" spans="1:17" ht="95.25" customHeight="1" thickBot="1">
      <c r="A57" s="994"/>
      <c r="B57" s="1003"/>
      <c r="C57" s="893" t="s">
        <v>205</v>
      </c>
      <c r="D57" s="894" t="s">
        <v>206</v>
      </c>
      <c r="E57" s="895" t="s">
        <v>207</v>
      </c>
      <c r="F57" s="896" t="s">
        <v>209</v>
      </c>
      <c r="G57" s="897" t="s">
        <v>210</v>
      </c>
      <c r="H57" s="898"/>
      <c r="I57" s="894"/>
      <c r="J57" s="894"/>
      <c r="K57" s="894"/>
      <c r="L57" s="1014"/>
      <c r="M57" s="1000"/>
      <c r="N57" s="1003"/>
      <c r="O57" s="1000"/>
      <c r="P57" s="890"/>
      <c r="Q57" s="833"/>
    </row>
    <row r="58" spans="1:17" ht="15.75" thickTop="1">
      <c r="A58" s="899" t="s">
        <v>262</v>
      </c>
      <c r="B58" s="900">
        <f>'lokale energieproductie'!B4</f>
        <v>0</v>
      </c>
      <c r="C58" s="1017"/>
      <c r="D58" s="1020"/>
      <c r="E58" s="1020"/>
      <c r="F58" s="1023"/>
      <c r="G58" s="1026"/>
      <c r="H58" s="901"/>
      <c r="I58" s="901"/>
      <c r="J58" s="901"/>
      <c r="K58" s="901"/>
      <c r="L58" s="1011"/>
      <c r="M58" s="902"/>
      <c r="N58" s="1015"/>
      <c r="O58" s="1016"/>
      <c r="P58" s="890"/>
      <c r="Q58" s="888"/>
    </row>
    <row r="59" spans="1:17" ht="15">
      <c r="A59" s="903" t="s">
        <v>263</v>
      </c>
      <c r="B59" s="900">
        <f>'lokale energieproductie'!B5</f>
        <v>0</v>
      </c>
      <c r="C59" s="1018"/>
      <c r="D59" s="1021"/>
      <c r="E59" s="1021"/>
      <c r="F59" s="1024"/>
      <c r="G59" s="1027"/>
      <c r="H59" s="904"/>
      <c r="I59" s="904"/>
      <c r="J59" s="904"/>
      <c r="K59" s="904"/>
      <c r="L59" s="1012"/>
      <c r="M59" s="905"/>
      <c r="N59" s="1007"/>
      <c r="O59" s="1008"/>
      <c r="P59" s="890"/>
      <c r="Q59" s="839"/>
    </row>
    <row r="60" spans="1:17" ht="15">
      <c r="A60" s="903" t="s">
        <v>264</v>
      </c>
      <c r="B60" s="900">
        <f>'lokale energieproductie'!B6</f>
        <v>961</v>
      </c>
      <c r="C60" s="1019"/>
      <c r="D60" s="1022"/>
      <c r="E60" s="1022"/>
      <c r="F60" s="1025"/>
      <c r="G60" s="1028"/>
      <c r="H60" s="906"/>
      <c r="I60" s="906"/>
      <c r="J60" s="906"/>
      <c r="K60" s="906"/>
      <c r="L60" s="1013"/>
      <c r="M60" s="905"/>
      <c r="N60" s="1007"/>
      <c r="O60" s="1008"/>
      <c r="P60" s="890"/>
      <c r="Q60" s="888"/>
    </row>
    <row r="61" spans="1:17" ht="15">
      <c r="A61" s="907" t="s">
        <v>265</v>
      </c>
      <c r="B61" s="900">
        <f>'lokale energieproductie'!B7</f>
        <v>0</v>
      </c>
      <c r="C61" s="935">
        <f>'lokale energieproductie'!C7</f>
        <v>0</v>
      </c>
      <c r="D61" s="936">
        <f>'lokale energieproductie'!D7</f>
        <v>0</v>
      </c>
      <c r="E61" s="936">
        <f>'lokale energieproductie'!E7</f>
        <v>0</v>
      </c>
      <c r="F61" s="936">
        <f>'lokale energieproductie'!F7</f>
        <v>0</v>
      </c>
      <c r="G61" s="936">
        <f>'lokale energieproductie'!G7</f>
        <v>0</v>
      </c>
      <c r="H61" s="936">
        <f>'lokale energieproductie'!H7</f>
        <v>0</v>
      </c>
      <c r="I61" s="936">
        <f>'lokale energieproductie'!I7</f>
        <v>0</v>
      </c>
      <c r="J61" s="936">
        <f>'lokale energieproductie'!J7</f>
        <v>0</v>
      </c>
      <c r="K61" s="936">
        <f>'lokale energieproductie'!K7</f>
        <v>0</v>
      </c>
      <c r="L61" s="937">
        <f>'lokale energieproductie'!L7</f>
        <v>0</v>
      </c>
      <c r="M61" s="905">
        <f>'lokale energieproductie'!M7</f>
        <v>0</v>
      </c>
      <c r="N61" s="1007">
        <f>IF(ISERROR(M61/B61),0,M61/B61)</f>
        <v>0</v>
      </c>
      <c r="O61" s="1008"/>
      <c r="P61" s="890"/>
      <c r="Q61" s="833"/>
    </row>
    <row r="62" spans="1:17" ht="30.75" thickBot="1">
      <c r="A62" s="908" t="s">
        <v>388</v>
      </c>
      <c r="B62" s="900">
        <f>'lokale energieproductie'!B8</f>
        <v>0</v>
      </c>
      <c r="C62" s="938">
        <f>'lokale energieproductie'!C8</f>
        <v>0</v>
      </c>
      <c r="D62" s="939">
        <f>'lokale energieproductie'!D8</f>
        <v>0</v>
      </c>
      <c r="E62" s="939">
        <f>'lokale energieproductie'!E8</f>
        <v>0</v>
      </c>
      <c r="F62" s="939">
        <f>'lokale energieproductie'!F8</f>
        <v>0</v>
      </c>
      <c r="G62" s="939">
        <f>'lokale energieproductie'!G8</f>
        <v>0</v>
      </c>
      <c r="H62" s="939">
        <f>'lokale energieproductie'!H8</f>
        <v>0</v>
      </c>
      <c r="I62" s="939">
        <f>'lokale energieproductie'!I8</f>
        <v>0</v>
      </c>
      <c r="J62" s="939">
        <f>'lokale energieproductie'!J8</f>
        <v>0</v>
      </c>
      <c r="K62" s="939">
        <f>'lokale energieproductie'!K8</f>
        <v>0</v>
      </c>
      <c r="L62" s="940">
        <f>'lokale energieproductie'!L8</f>
        <v>0</v>
      </c>
      <c r="M62" s="905">
        <f>'lokale energieproductie'!M8</f>
        <v>0</v>
      </c>
      <c r="N62" s="1009">
        <f>IF(ISERROR(M62/B62),0,M62/B62)</f>
        <v>0</v>
      </c>
      <c r="O62" s="1010"/>
      <c r="P62" s="890"/>
      <c r="Q62" s="833"/>
    </row>
    <row r="63" spans="1:17" ht="16.5" thickTop="1" thickBot="1">
      <c r="A63" s="909" t="s">
        <v>119</v>
      </c>
      <c r="B63" s="910">
        <f>SUM(B58:B62)</f>
        <v>961</v>
      </c>
      <c r="C63" s="911">
        <f t="shared" ref="C63:L63" si="7">SUM(C61:C62)</f>
        <v>0</v>
      </c>
      <c r="D63" s="911">
        <f t="shared" si="7"/>
        <v>0</v>
      </c>
      <c r="E63" s="911">
        <f t="shared" si="7"/>
        <v>0</v>
      </c>
      <c r="F63" s="911">
        <f t="shared" si="7"/>
        <v>0</v>
      </c>
      <c r="G63" s="911">
        <f t="shared" si="7"/>
        <v>0</v>
      </c>
      <c r="H63" s="911">
        <f t="shared" si="7"/>
        <v>0</v>
      </c>
      <c r="I63" s="911">
        <f t="shared" si="7"/>
        <v>0</v>
      </c>
      <c r="J63" s="911">
        <f t="shared" si="7"/>
        <v>0</v>
      </c>
      <c r="K63" s="911">
        <f t="shared" si="7"/>
        <v>0</v>
      </c>
      <c r="L63" s="911">
        <f t="shared" si="7"/>
        <v>0</v>
      </c>
      <c r="M63" s="912">
        <f>SUM(M58:M62)</f>
        <v>0</v>
      </c>
      <c r="N63" s="913"/>
      <c r="O63" s="914"/>
      <c r="P63" s="890"/>
      <c r="Q63" s="833"/>
    </row>
    <row r="64" spans="1:17" ht="15.75" thickTop="1">
      <c r="A64" s="915"/>
      <c r="B64" s="916"/>
      <c r="C64" s="916"/>
      <c r="D64" s="840"/>
      <c r="E64" s="839"/>
      <c r="F64" s="839"/>
      <c r="G64" s="839"/>
      <c r="H64" s="917"/>
      <c r="I64" s="839"/>
      <c r="J64" s="839"/>
      <c r="K64" s="839"/>
      <c r="L64" s="839"/>
      <c r="M64" s="918"/>
      <c r="N64" s="839"/>
      <c r="O64" s="839"/>
      <c r="P64" s="839"/>
      <c r="Q64" s="839"/>
    </row>
    <row r="65" spans="1:17" ht="15">
      <c r="A65" s="880"/>
      <c r="B65" s="916"/>
      <c r="C65" s="916"/>
      <c r="D65" s="839"/>
      <c r="E65" s="839"/>
      <c r="F65" s="839"/>
      <c r="G65" s="839"/>
      <c r="H65" s="839"/>
      <c r="I65" s="839"/>
      <c r="J65" s="839"/>
      <c r="K65" s="839"/>
      <c r="L65" s="839"/>
      <c r="M65" s="839"/>
      <c r="N65" s="839"/>
      <c r="O65" s="839"/>
      <c r="P65" s="839"/>
      <c r="Q65" s="839"/>
    </row>
    <row r="66" spans="1:17" ht="18.75">
      <c r="A66" s="919" t="s">
        <v>389</v>
      </c>
      <c r="B66" s="920"/>
      <c r="C66" s="887"/>
      <c r="D66" s="839"/>
      <c r="E66" s="839"/>
      <c r="F66" s="839"/>
      <c r="G66" s="839"/>
      <c r="H66" s="839"/>
      <c r="I66" s="839"/>
      <c r="J66" s="839"/>
      <c r="K66" s="839"/>
      <c r="L66" s="839"/>
      <c r="M66" s="839"/>
      <c r="N66" s="839"/>
      <c r="O66" s="839"/>
      <c r="P66" s="839"/>
      <c r="Q66" s="839"/>
    </row>
    <row r="67" spans="1:17">
      <c r="A67" s="991"/>
      <c r="B67" s="991"/>
      <c r="C67" s="991"/>
      <c r="D67" s="991"/>
      <c r="E67" s="991"/>
      <c r="F67" s="991"/>
      <c r="G67" s="991"/>
      <c r="H67" s="991"/>
      <c r="I67" s="991"/>
      <c r="J67" s="991"/>
      <c r="K67" s="991"/>
      <c r="L67" s="991"/>
      <c r="M67" s="991"/>
      <c r="N67" s="991"/>
      <c r="O67" s="991"/>
      <c r="P67" s="889"/>
      <c r="Q67" s="889"/>
    </row>
    <row r="68" spans="1:17" ht="15.75" thickBot="1">
      <c r="A68" s="842"/>
      <c r="B68" s="843"/>
      <c r="C68" s="843"/>
      <c r="D68" s="843"/>
      <c r="E68" s="843"/>
      <c r="F68" s="843"/>
      <c r="G68" s="843"/>
      <c r="H68" s="843"/>
      <c r="I68" s="843"/>
      <c r="J68" s="843"/>
      <c r="K68" s="843"/>
      <c r="L68" s="843"/>
      <c r="M68" s="843"/>
      <c r="N68" s="843"/>
      <c r="O68" s="843"/>
      <c r="P68" s="843"/>
      <c r="Q68" s="843"/>
    </row>
    <row r="69" spans="1:17" ht="17.25" thickTop="1" thickBot="1">
      <c r="A69" s="992" t="s">
        <v>266</v>
      </c>
      <c r="B69" s="992" t="s">
        <v>390</v>
      </c>
      <c r="C69" s="995" t="s">
        <v>391</v>
      </c>
      <c r="D69" s="996"/>
      <c r="E69" s="996"/>
      <c r="F69" s="996"/>
      <c r="G69" s="996"/>
      <c r="H69" s="996"/>
      <c r="I69" s="996"/>
      <c r="J69" s="996"/>
      <c r="K69" s="996"/>
      <c r="L69" s="997"/>
      <c r="M69" s="998" t="s">
        <v>386</v>
      </c>
      <c r="N69" s="1001" t="s">
        <v>392</v>
      </c>
      <c r="O69" s="998"/>
      <c r="P69" s="921"/>
      <c r="Q69" s="833"/>
    </row>
    <row r="70" spans="1:17" ht="15.75" thickBot="1">
      <c r="A70" s="993"/>
      <c r="B70" s="993"/>
      <c r="C70" s="1004" t="s">
        <v>203</v>
      </c>
      <c r="D70" s="1005"/>
      <c r="E70" s="1005"/>
      <c r="F70" s="1005"/>
      <c r="G70" s="1006"/>
      <c r="H70" s="981" t="s">
        <v>258</v>
      </c>
      <c r="I70" s="981" t="s">
        <v>259</v>
      </c>
      <c r="J70" s="983" t="s">
        <v>247</v>
      </c>
      <c r="K70" s="985" t="s">
        <v>270</v>
      </c>
      <c r="L70" s="987" t="s">
        <v>130</v>
      </c>
      <c r="M70" s="999"/>
      <c r="N70" s="1002"/>
      <c r="O70" s="999"/>
      <c r="P70" s="921"/>
      <c r="Q70" s="833"/>
    </row>
    <row r="71" spans="1:17" ht="110.25" customHeight="1" thickBot="1">
      <c r="A71" s="994"/>
      <c r="B71" s="994"/>
      <c r="C71" s="922" t="s">
        <v>205</v>
      </c>
      <c r="D71" s="894" t="s">
        <v>206</v>
      </c>
      <c r="E71" s="923" t="s">
        <v>207</v>
      </c>
      <c r="F71" s="894" t="s">
        <v>209</v>
      </c>
      <c r="G71" s="924" t="s">
        <v>210</v>
      </c>
      <c r="H71" s="982"/>
      <c r="I71" s="982"/>
      <c r="J71" s="984"/>
      <c r="K71" s="986"/>
      <c r="L71" s="988"/>
      <c r="M71" s="1000"/>
      <c r="N71" s="1003"/>
      <c r="O71" s="1000"/>
      <c r="P71" s="921"/>
      <c r="Q71" s="833"/>
    </row>
    <row r="72" spans="1:17" ht="15.75" thickTop="1">
      <c r="A72" s="925" t="s">
        <v>265</v>
      </c>
      <c r="B72" s="926">
        <f>'lokale energieproductie'!B16</f>
        <v>0</v>
      </c>
      <c r="C72" s="941">
        <f>'lokale energieproductie'!C16</f>
        <v>0</v>
      </c>
      <c r="D72" s="941">
        <f>'lokale energieproductie'!D16</f>
        <v>0</v>
      </c>
      <c r="E72" s="941">
        <f>'lokale energieproductie'!E16</f>
        <v>0</v>
      </c>
      <c r="F72" s="941">
        <f>'lokale energieproductie'!F16</f>
        <v>0</v>
      </c>
      <c r="G72" s="941">
        <f>'lokale energieproductie'!G16</f>
        <v>0</v>
      </c>
      <c r="H72" s="941">
        <f>'lokale energieproductie'!H16</f>
        <v>0</v>
      </c>
      <c r="I72" s="941">
        <f>'lokale energieproductie'!I16</f>
        <v>0</v>
      </c>
      <c r="J72" s="941">
        <f>'lokale energieproductie'!J16</f>
        <v>0</v>
      </c>
      <c r="K72" s="941">
        <f>'lokale energieproductie'!K16</f>
        <v>0</v>
      </c>
      <c r="L72" s="941">
        <f>'lokale energieproductie'!L16</f>
        <v>0</v>
      </c>
      <c r="M72" s="902">
        <f>'lokale energieproductie'!M16</f>
        <v>0</v>
      </c>
      <c r="N72" s="989">
        <f>IF(ISERROR(M72/B72),0,M72/B72)</f>
        <v>0</v>
      </c>
      <c r="O72" s="990"/>
      <c r="P72" s="921"/>
      <c r="Q72" s="833"/>
    </row>
    <row r="73" spans="1:17" ht="15">
      <c r="A73" s="927" t="s">
        <v>271</v>
      </c>
      <c r="B73" s="926">
        <f>'lokale energieproductie'!B17</f>
        <v>0</v>
      </c>
      <c r="C73" s="941">
        <f>'lokale energieproductie'!C17</f>
        <v>0</v>
      </c>
      <c r="D73" s="941">
        <f>'lokale energieproductie'!D17</f>
        <v>0</v>
      </c>
      <c r="E73" s="941">
        <f>'lokale energieproductie'!E17</f>
        <v>0</v>
      </c>
      <c r="F73" s="941">
        <f>'lokale energieproductie'!F17</f>
        <v>0</v>
      </c>
      <c r="G73" s="941">
        <f>'lokale energieproductie'!G17</f>
        <v>0</v>
      </c>
      <c r="H73" s="941">
        <f>'lokale energieproductie'!H17</f>
        <v>0</v>
      </c>
      <c r="I73" s="941">
        <f>'lokale energieproductie'!I17</f>
        <v>0</v>
      </c>
      <c r="J73" s="941">
        <f>'lokale energieproductie'!J17</f>
        <v>0</v>
      </c>
      <c r="K73" s="941">
        <f>'lokale energieproductie'!K17</f>
        <v>0</v>
      </c>
      <c r="L73" s="941">
        <f>'lokale energieproductie'!L17</f>
        <v>0</v>
      </c>
      <c r="M73" s="902">
        <f>'lokale energieproductie'!M17</f>
        <v>0</v>
      </c>
      <c r="N73" s="989">
        <f>IF(ISERROR(M73/B73),0,M73/B73)</f>
        <v>0</v>
      </c>
      <c r="O73" s="990"/>
      <c r="P73" s="928"/>
      <c r="Q73" s="833"/>
    </row>
    <row r="74" spans="1:17" ht="30.75" thickBot="1">
      <c r="A74" s="908" t="s">
        <v>388</v>
      </c>
      <c r="B74" s="926">
        <f>'lokale energieproductie'!B18</f>
        <v>0</v>
      </c>
      <c r="C74" s="941">
        <f>'lokale energieproductie'!C18</f>
        <v>0</v>
      </c>
      <c r="D74" s="941">
        <f>'lokale energieproductie'!D18</f>
        <v>0</v>
      </c>
      <c r="E74" s="941">
        <f>'lokale energieproductie'!E18</f>
        <v>0</v>
      </c>
      <c r="F74" s="941">
        <f>'lokale energieproductie'!F18</f>
        <v>0</v>
      </c>
      <c r="G74" s="941">
        <f>'lokale energieproductie'!G18</f>
        <v>0</v>
      </c>
      <c r="H74" s="941">
        <f>'lokale energieproductie'!H18</f>
        <v>0</v>
      </c>
      <c r="I74" s="941">
        <f>'lokale energieproductie'!I18</f>
        <v>0</v>
      </c>
      <c r="J74" s="941">
        <f>'lokale energieproductie'!J18</f>
        <v>0</v>
      </c>
      <c r="K74" s="941">
        <f>'lokale energieproductie'!K18</f>
        <v>0</v>
      </c>
      <c r="L74" s="941">
        <f>'lokale energieproductie'!L18</f>
        <v>0</v>
      </c>
      <c r="M74" s="902">
        <f>'lokale energieproductie'!M18</f>
        <v>0</v>
      </c>
      <c r="N74" s="977">
        <f>IF(ISERROR(M74/B74),0,M74/B74)</f>
        <v>0</v>
      </c>
      <c r="O74" s="978"/>
      <c r="P74" s="928"/>
      <c r="Q74" s="833"/>
    </row>
    <row r="75" spans="1:17" ht="16.5" thickTop="1" thickBot="1">
      <c r="A75" s="929" t="s">
        <v>119</v>
      </c>
      <c r="B75" s="910">
        <f>SUM(B72:B74)</f>
        <v>0</v>
      </c>
      <c r="C75" s="910">
        <f t="shared" ref="C75:M75" si="8">SUM(C72:C74)</f>
        <v>0</v>
      </c>
      <c r="D75" s="910">
        <f t="shared" si="8"/>
        <v>0</v>
      </c>
      <c r="E75" s="910">
        <f t="shared" si="8"/>
        <v>0</v>
      </c>
      <c r="F75" s="910">
        <f t="shared" si="8"/>
        <v>0</v>
      </c>
      <c r="G75" s="910">
        <f t="shared" si="8"/>
        <v>0</v>
      </c>
      <c r="H75" s="910">
        <f t="shared" si="8"/>
        <v>0</v>
      </c>
      <c r="I75" s="910">
        <f t="shared" si="8"/>
        <v>0</v>
      </c>
      <c r="J75" s="910">
        <f t="shared" si="8"/>
        <v>0</v>
      </c>
      <c r="K75" s="910">
        <f t="shared" si="8"/>
        <v>0</v>
      </c>
      <c r="L75" s="910">
        <f t="shared" si="8"/>
        <v>0</v>
      </c>
      <c r="M75" s="910">
        <f t="shared" si="8"/>
        <v>0</v>
      </c>
      <c r="N75" s="979"/>
      <c r="O75" s="980"/>
      <c r="P75" s="928"/>
      <c r="Q75" s="833"/>
    </row>
    <row r="76" spans="1:17" ht="15.75" thickTop="1">
      <c r="A76" s="930"/>
      <c r="B76" s="931"/>
      <c r="C76" s="932"/>
      <c r="D76" s="933"/>
      <c r="E76" s="917"/>
      <c r="F76" s="917"/>
      <c r="G76" s="917"/>
      <c r="H76" s="917"/>
      <c r="I76" s="917"/>
      <c r="J76" s="917"/>
      <c r="K76" s="917"/>
      <c r="L76" s="839"/>
      <c r="M76" s="917"/>
      <c r="N76" s="839"/>
      <c r="O76" s="888"/>
      <c r="P76" s="839"/>
      <c r="Q76" s="839"/>
    </row>
  </sheetData>
  <mergeCells count="56">
    <mergeCell ref="A2:B2"/>
    <mergeCell ref="A3:Q3"/>
    <mergeCell ref="A5:A7"/>
    <mergeCell ref="B5:Q5"/>
    <mergeCell ref="B6:B7"/>
    <mergeCell ref="C6:C7"/>
    <mergeCell ref="D6:K6"/>
    <mergeCell ref="L6:P6"/>
    <mergeCell ref="Q6:Q7"/>
    <mergeCell ref="B8:P8"/>
    <mergeCell ref="B15:P15"/>
    <mergeCell ref="A24:B24"/>
    <mergeCell ref="A26:Q26"/>
    <mergeCell ref="A28:A30"/>
    <mergeCell ref="B28:Q28"/>
    <mergeCell ref="B29:B30"/>
    <mergeCell ref="C29:C30"/>
    <mergeCell ref="D29:K29"/>
    <mergeCell ref="L29:P29"/>
    <mergeCell ref="Q29:Q30"/>
    <mergeCell ref="B44:P46"/>
    <mergeCell ref="A53:P53"/>
    <mergeCell ref="A55:A57"/>
    <mergeCell ref="B55:B57"/>
    <mergeCell ref="M55:M57"/>
    <mergeCell ref="C56:G56"/>
    <mergeCell ref="C55:L55"/>
    <mergeCell ref="C58:C60"/>
    <mergeCell ref="D58:D60"/>
    <mergeCell ref="E58:E60"/>
    <mergeCell ref="F58:F60"/>
    <mergeCell ref="G58:G60"/>
    <mergeCell ref="N61:O61"/>
    <mergeCell ref="N62:O62"/>
    <mergeCell ref="L58:L60"/>
    <mergeCell ref="L56:L57"/>
    <mergeCell ref="N55:O57"/>
    <mergeCell ref="N58:O58"/>
    <mergeCell ref="N59:O59"/>
    <mergeCell ref="N60:O60"/>
    <mergeCell ref="A67:O67"/>
    <mergeCell ref="A69:A71"/>
    <mergeCell ref="B69:B71"/>
    <mergeCell ref="C69:L69"/>
    <mergeCell ref="M69:M71"/>
    <mergeCell ref="N69:O71"/>
    <mergeCell ref="C70:G70"/>
    <mergeCell ref="H70:H71"/>
    <mergeCell ref="N74:O74"/>
    <mergeCell ref="N75:O75"/>
    <mergeCell ref="I70:I71"/>
    <mergeCell ref="J70:J71"/>
    <mergeCell ref="K70:K71"/>
    <mergeCell ref="L70:L71"/>
    <mergeCell ref="N72:O72"/>
    <mergeCell ref="N73:O73"/>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Q31"/>
  <sheetViews>
    <sheetView tabSelected="1" workbookViewId="0">
      <selection activeCell="B4" sqref="B4"/>
    </sheetView>
  </sheetViews>
  <sheetFormatPr defaultRowHeight="15"/>
  <cols>
    <col min="1" max="1" width="35.7109375" style="554" bestFit="1" customWidth="1"/>
    <col min="2" max="2" width="11.28515625" style="554" bestFit="1" customWidth="1"/>
    <col min="3" max="3" width="15.42578125" style="554" bestFit="1" customWidth="1"/>
    <col min="4" max="4" width="9.140625" style="554"/>
    <col min="5" max="5" width="16.28515625" style="554" customWidth="1"/>
    <col min="6" max="8" width="9.140625" style="554"/>
    <col min="9" max="9" width="14.28515625" style="554" customWidth="1"/>
    <col min="10" max="10" width="18.5703125" style="554" customWidth="1"/>
    <col min="11" max="11" width="15.140625" style="554" customWidth="1"/>
    <col min="12" max="12" width="15.42578125" style="554" customWidth="1"/>
    <col min="13" max="13" width="17" style="554" customWidth="1"/>
    <col min="14" max="14" width="16.42578125" style="554" customWidth="1"/>
    <col min="15" max="15" width="13.42578125" style="554" customWidth="1"/>
    <col min="16" max="16" width="18.28515625" style="554" customWidth="1"/>
    <col min="17" max="17" width="10.5703125" style="554" bestFit="1" customWidth="1"/>
    <col min="18" max="18" width="9.5703125" style="554" bestFit="1" customWidth="1"/>
    <col min="19" max="16384" width="9.140625" style="554"/>
  </cols>
  <sheetData>
    <row r="1" spans="1:17" ht="15.75">
      <c r="A1" s="1067" t="s">
        <v>654</v>
      </c>
      <c r="B1" s="1068" t="s">
        <v>650</v>
      </c>
      <c r="C1" s="1068"/>
      <c r="D1" s="1068"/>
      <c r="E1" s="1068"/>
      <c r="F1" s="1068"/>
      <c r="G1" s="1068"/>
      <c r="H1" s="1068"/>
      <c r="I1" s="1068"/>
      <c r="J1" s="1068"/>
      <c r="K1" s="1068"/>
      <c r="L1" s="1068"/>
      <c r="M1" s="1068"/>
      <c r="N1" s="1068"/>
      <c r="O1" s="1068"/>
      <c r="P1" s="1069"/>
      <c r="Q1" s="553"/>
    </row>
    <row r="2" spans="1:17">
      <c r="A2" s="1067"/>
      <c r="B2" s="1070" t="s">
        <v>21</v>
      </c>
      <c r="C2" s="1072" t="s">
        <v>202</v>
      </c>
      <c r="D2" s="1074" t="s">
        <v>203</v>
      </c>
      <c r="E2" s="1075"/>
      <c r="F2" s="1075"/>
      <c r="G2" s="1075"/>
      <c r="H2" s="1075"/>
      <c r="I2" s="1075"/>
      <c r="J2" s="1075"/>
      <c r="K2" s="1071"/>
      <c r="L2" s="1074" t="s">
        <v>204</v>
      </c>
      <c r="M2" s="1075"/>
      <c r="N2" s="1075"/>
      <c r="O2" s="1075"/>
      <c r="P2" s="1071"/>
      <c r="Q2" s="553"/>
    </row>
    <row r="3" spans="1:17" ht="45">
      <c r="A3" s="1067"/>
      <c r="B3" s="1071"/>
      <c r="C3" s="1073"/>
      <c r="D3" s="553" t="s">
        <v>205</v>
      </c>
      <c r="E3" s="553" t="s">
        <v>206</v>
      </c>
      <c r="F3" s="553" t="s">
        <v>207</v>
      </c>
      <c r="G3" s="553" t="s">
        <v>208</v>
      </c>
      <c r="H3" s="553" t="s">
        <v>123</v>
      </c>
      <c r="I3" s="553" t="s">
        <v>209</v>
      </c>
      <c r="J3" s="553" t="s">
        <v>210</v>
      </c>
      <c r="K3" s="553" t="s">
        <v>211</v>
      </c>
      <c r="L3" s="553" t="s">
        <v>212</v>
      </c>
      <c r="M3" s="553" t="s">
        <v>213</v>
      </c>
      <c r="N3" s="553" t="s">
        <v>214</v>
      </c>
      <c r="O3" s="553" t="s">
        <v>215</v>
      </c>
      <c r="P3" s="553" t="s">
        <v>216</v>
      </c>
      <c r="Q3" s="553" t="s">
        <v>119</v>
      </c>
    </row>
    <row r="4" spans="1:17">
      <c r="A4" s="555" t="s">
        <v>158</v>
      </c>
      <c r="B4" s="556">
        <f>huishoudens!B8</f>
        <v>37450.698305203099</v>
      </c>
      <c r="C4" s="556">
        <f>huishoudens!C8</f>
        <v>0</v>
      </c>
      <c r="D4" s="556">
        <f>huishoudens!D8</f>
        <v>126041.54106442082</v>
      </c>
      <c r="E4" s="556">
        <f>huishoudens!E8</f>
        <v>710.59664248632873</v>
      </c>
      <c r="F4" s="556">
        <f>huishoudens!F8</f>
        <v>12965.277392357542</v>
      </c>
      <c r="G4" s="556">
        <f>huishoudens!G8</f>
        <v>0</v>
      </c>
      <c r="H4" s="556">
        <f>huishoudens!H8</f>
        <v>0</v>
      </c>
      <c r="I4" s="556">
        <f>huishoudens!I8</f>
        <v>0</v>
      </c>
      <c r="J4" s="556">
        <f>huishoudens!J8</f>
        <v>0</v>
      </c>
      <c r="K4" s="556">
        <f>huishoudens!K8</f>
        <v>0</v>
      </c>
      <c r="L4" s="556">
        <f>huishoudens!L8</f>
        <v>0</v>
      </c>
      <c r="M4" s="556">
        <f>huishoudens!M8</f>
        <v>0</v>
      </c>
      <c r="N4" s="556">
        <f>huishoudens!N8</f>
        <v>4240.4994311859937</v>
      </c>
      <c r="O4" s="556">
        <f>huishoudens!O8</f>
        <v>85.983333333333334</v>
      </c>
      <c r="P4" s="557">
        <f>huishoudens!P8</f>
        <v>0</v>
      </c>
      <c r="Q4" s="558">
        <f>SUM(B4:P4)</f>
        <v>181494.5961689871</v>
      </c>
    </row>
    <row r="5" spans="1:17">
      <c r="A5" s="555" t="s">
        <v>159</v>
      </c>
      <c r="B5" s="556">
        <f ca="1">tertiair!B16</f>
        <v>27824.135442457016</v>
      </c>
      <c r="C5" s="556">
        <f ca="1">tertiair!C16</f>
        <v>0</v>
      </c>
      <c r="D5" s="556">
        <f ca="1">tertiair!D16</f>
        <v>36858.708666211503</v>
      </c>
      <c r="E5" s="556">
        <f>tertiair!E16</f>
        <v>541.09072511852162</v>
      </c>
      <c r="F5" s="556">
        <f ca="1">tertiair!F16</f>
        <v>5515.0611170163829</v>
      </c>
      <c r="G5" s="556">
        <f>tertiair!G16</f>
        <v>0</v>
      </c>
      <c r="H5" s="556">
        <f>tertiair!H16</f>
        <v>0</v>
      </c>
      <c r="I5" s="556">
        <f>tertiair!I16</f>
        <v>0</v>
      </c>
      <c r="J5" s="556">
        <f>tertiair!J16</f>
        <v>0</v>
      </c>
      <c r="K5" s="556">
        <f>tertiair!K16</f>
        <v>0</v>
      </c>
      <c r="L5" s="556">
        <f ca="1">tertiair!L16</f>
        <v>0</v>
      </c>
      <c r="M5" s="556">
        <f>tertiair!M16</f>
        <v>0</v>
      </c>
      <c r="N5" s="556">
        <f ca="1">tertiair!N16</f>
        <v>515.58947484055921</v>
      </c>
      <c r="O5" s="556">
        <f>tertiair!O16</f>
        <v>1.5633333333333335</v>
      </c>
      <c r="P5" s="557">
        <f>tertiair!P16</f>
        <v>0</v>
      </c>
      <c r="Q5" s="555">
        <f t="shared" ref="Q5:Q13" ca="1" si="0">SUM(B5:P5)</f>
        <v>71256.148758977317</v>
      </c>
    </row>
    <row r="6" spans="1:17">
      <c r="A6" s="555" t="s">
        <v>200</v>
      </c>
      <c r="B6" s="556">
        <f>'openbare verlichting'!B8</f>
        <v>12.993000000000052</v>
      </c>
      <c r="C6" s="556"/>
      <c r="D6" s="556"/>
      <c r="E6" s="556"/>
      <c r="F6" s="556"/>
      <c r="G6" s="556"/>
      <c r="H6" s="556"/>
      <c r="I6" s="556"/>
      <c r="J6" s="556"/>
      <c r="K6" s="556"/>
      <c r="L6" s="556"/>
      <c r="M6" s="556"/>
      <c r="N6" s="556"/>
      <c r="O6" s="556"/>
      <c r="P6" s="557"/>
      <c r="Q6" s="555">
        <f t="shared" si="0"/>
        <v>12.993000000000052</v>
      </c>
    </row>
    <row r="7" spans="1:17">
      <c r="A7" s="555" t="s">
        <v>115</v>
      </c>
      <c r="B7" s="556">
        <f>landbouw!B8</f>
        <v>174.20639361104381</v>
      </c>
      <c r="C7" s="556">
        <f>landbouw!C8</f>
        <v>0</v>
      </c>
      <c r="D7" s="556">
        <f>landbouw!D8</f>
        <v>6455.8248683048605</v>
      </c>
      <c r="E7" s="556">
        <f>landbouw!E8</f>
        <v>1.8243270680410937</v>
      </c>
      <c r="F7" s="556">
        <f>landbouw!F8</f>
        <v>894.75177547173803</v>
      </c>
      <c r="G7" s="556">
        <f>landbouw!G8</f>
        <v>0</v>
      </c>
      <c r="H7" s="556">
        <f>landbouw!H8</f>
        <v>0</v>
      </c>
      <c r="I7" s="556">
        <f>landbouw!I8</f>
        <v>0</v>
      </c>
      <c r="J7" s="556">
        <f>landbouw!J8</f>
        <v>15.558192388009759</v>
      </c>
      <c r="K7" s="556">
        <f>landbouw!K8</f>
        <v>0</v>
      </c>
      <c r="L7" s="556">
        <f>landbouw!L8</f>
        <v>0</v>
      </c>
      <c r="M7" s="556">
        <f>landbouw!M8</f>
        <v>0</v>
      </c>
      <c r="N7" s="556">
        <f>landbouw!N8</f>
        <v>0</v>
      </c>
      <c r="O7" s="556">
        <f>landbouw!O8</f>
        <v>0</v>
      </c>
      <c r="P7" s="557">
        <f>landbouw!P8</f>
        <v>0</v>
      </c>
      <c r="Q7" s="555">
        <f t="shared" si="0"/>
        <v>7542.1655568436936</v>
      </c>
    </row>
    <row r="8" spans="1:17">
      <c r="A8" s="555" t="s">
        <v>429</v>
      </c>
      <c r="B8" s="556">
        <f>industrie!B18</f>
        <v>2087.9345772822685</v>
      </c>
      <c r="C8" s="556">
        <f>industrie!C18</f>
        <v>0</v>
      </c>
      <c r="D8" s="556">
        <f>industrie!D18</f>
        <v>322056.8081434943</v>
      </c>
      <c r="E8" s="556">
        <f>industrie!E18</f>
        <v>24.339969835937236</v>
      </c>
      <c r="F8" s="556">
        <f>industrie!F18</f>
        <v>858.79223362133735</v>
      </c>
      <c r="G8" s="556">
        <f>industrie!G18</f>
        <v>0</v>
      </c>
      <c r="H8" s="556">
        <f>industrie!H18</f>
        <v>0</v>
      </c>
      <c r="I8" s="556">
        <f>industrie!I18</f>
        <v>0</v>
      </c>
      <c r="J8" s="556">
        <f>industrie!J18</f>
        <v>6.0109829516180202</v>
      </c>
      <c r="K8" s="556">
        <f>industrie!K18</f>
        <v>0</v>
      </c>
      <c r="L8" s="556">
        <f>industrie!L18</f>
        <v>0</v>
      </c>
      <c r="M8" s="556">
        <f>industrie!M18</f>
        <v>0</v>
      </c>
      <c r="N8" s="556">
        <f>industrie!N18</f>
        <v>80.420311207402676</v>
      </c>
      <c r="O8" s="556">
        <f>industrie!O18</f>
        <v>0</v>
      </c>
      <c r="P8" s="557">
        <f>industrie!P18</f>
        <v>0</v>
      </c>
      <c r="Q8" s="555">
        <f t="shared" si="0"/>
        <v>325114.30621839291</v>
      </c>
    </row>
    <row r="9" spans="1:17" s="561" customFormat="1">
      <c r="A9" s="559" t="s">
        <v>666</v>
      </c>
      <c r="B9" s="560">
        <f>transport!B17</f>
        <v>8.8116273934525188E-2</v>
      </c>
      <c r="C9" s="560">
        <f>transport!C17</f>
        <v>0</v>
      </c>
      <c r="D9" s="560">
        <f>transport!D17</f>
        <v>0.81730772719880651</v>
      </c>
      <c r="E9" s="560">
        <f>transport!E17</f>
        <v>357.59391536594677</v>
      </c>
      <c r="F9" s="560">
        <f>transport!F17</f>
        <v>0</v>
      </c>
      <c r="G9" s="560">
        <f>transport!G17</f>
        <v>45868.458128061393</v>
      </c>
      <c r="H9" s="560">
        <f>transport!H17</f>
        <v>9397.6910100153455</v>
      </c>
      <c r="I9" s="560">
        <f>transport!I17</f>
        <v>0</v>
      </c>
      <c r="J9" s="560">
        <f>transport!J17</f>
        <v>0</v>
      </c>
      <c r="K9" s="560">
        <f>transport!K17</f>
        <v>0</v>
      </c>
      <c r="L9" s="560">
        <f>transport!L17</f>
        <v>0</v>
      </c>
      <c r="M9" s="560">
        <f>transport!M17</f>
        <v>2277.2376523888015</v>
      </c>
      <c r="N9" s="560">
        <f>transport!N17</f>
        <v>0</v>
      </c>
      <c r="O9" s="560">
        <f>transport!O17</f>
        <v>0</v>
      </c>
      <c r="P9" s="560">
        <f>transport!P17</f>
        <v>0</v>
      </c>
      <c r="Q9" s="559">
        <f>SUM(B9:P9)</f>
        <v>57901.886129832623</v>
      </c>
    </row>
    <row r="10" spans="1:17">
      <c r="A10" s="555" t="s">
        <v>655</v>
      </c>
      <c r="B10" s="556">
        <f>transport!B58</f>
        <v>1414.5300829497046</v>
      </c>
      <c r="C10" s="556">
        <f>transport!C58</f>
        <v>0</v>
      </c>
      <c r="D10" s="556">
        <f>transport!D58</f>
        <v>0</v>
      </c>
      <c r="E10" s="556">
        <f>transport!E58</f>
        <v>0</v>
      </c>
      <c r="F10" s="556">
        <f>transport!F58</f>
        <v>0</v>
      </c>
      <c r="G10" s="556">
        <f>transport!G58</f>
        <v>732.84836028957807</v>
      </c>
      <c r="H10" s="556">
        <f>transport!H58</f>
        <v>0</v>
      </c>
      <c r="I10" s="556">
        <f>transport!I58</f>
        <v>0</v>
      </c>
      <c r="J10" s="556">
        <f>transport!J58</f>
        <v>0</v>
      </c>
      <c r="K10" s="556">
        <f>transport!K58</f>
        <v>0</v>
      </c>
      <c r="L10" s="556">
        <f>transport!L58</f>
        <v>0</v>
      </c>
      <c r="M10" s="556">
        <f>transport!M58</f>
        <v>42.036371485295788</v>
      </c>
      <c r="N10" s="556">
        <f>transport!N58</f>
        <v>0</v>
      </c>
      <c r="O10" s="556">
        <f>transport!O58</f>
        <v>0</v>
      </c>
      <c r="P10" s="557">
        <f>transport!P58</f>
        <v>0</v>
      </c>
      <c r="Q10" s="555">
        <f t="shared" si="0"/>
        <v>2189.4148147245783</v>
      </c>
    </row>
    <row r="11" spans="1:17">
      <c r="A11" s="555" t="s">
        <v>656</v>
      </c>
      <c r="B11" s="556">
        <f>'Eigen gebouwen'!B15</f>
        <v>1737.6089999999999</v>
      </c>
      <c r="C11" s="556">
        <f>'Eigen gebouwen'!C15</f>
        <v>0</v>
      </c>
      <c r="D11" s="556">
        <f>'Eigen gebouwen'!D15</f>
        <v>6528.5060000000003</v>
      </c>
      <c r="E11" s="556">
        <f>'Eigen gebouwen'!E15</f>
        <v>0</v>
      </c>
      <c r="F11" s="556">
        <f>'Eigen gebouwen'!F15</f>
        <v>302.08058675036102</v>
      </c>
      <c r="G11" s="556">
        <f>'Eigen gebouwen'!G15</f>
        <v>0</v>
      </c>
      <c r="H11" s="556">
        <f>'Eigen gebouwen'!H15</f>
        <v>0</v>
      </c>
      <c r="I11" s="556">
        <f>'Eigen gebouwen'!I15</f>
        <v>0</v>
      </c>
      <c r="J11" s="556">
        <f>'Eigen gebouwen'!J15</f>
        <v>0</v>
      </c>
      <c r="K11" s="556">
        <f>'Eigen gebouwen'!K15</f>
        <v>0</v>
      </c>
      <c r="L11" s="556">
        <f>'Eigen gebouwen'!L15</f>
        <v>0</v>
      </c>
      <c r="M11" s="556">
        <f>'Eigen gebouwen'!M15</f>
        <v>0</v>
      </c>
      <c r="N11" s="556">
        <f>'Eigen gebouwen'!N15</f>
        <v>0</v>
      </c>
      <c r="O11" s="556">
        <f>'Eigen gebouwen'!O15</f>
        <v>0</v>
      </c>
      <c r="P11" s="557">
        <f>'Eigen gebouwen'!P15</f>
        <v>0</v>
      </c>
      <c r="Q11" s="555">
        <f t="shared" si="0"/>
        <v>8568.1955867503602</v>
      </c>
    </row>
    <row r="12" spans="1:17">
      <c r="A12" s="555" t="s">
        <v>657</v>
      </c>
      <c r="B12" s="556">
        <f>'Eigen openbare verlichting'!B15</f>
        <v>1015.888</v>
      </c>
      <c r="C12" s="556"/>
      <c r="D12" s="556"/>
      <c r="E12" s="556"/>
      <c r="F12" s="556"/>
      <c r="G12" s="556"/>
      <c r="H12" s="556"/>
      <c r="I12" s="556"/>
      <c r="J12" s="556"/>
      <c r="K12" s="556"/>
      <c r="L12" s="556"/>
      <c r="M12" s="556"/>
      <c r="N12" s="556"/>
      <c r="O12" s="556"/>
      <c r="P12" s="557"/>
      <c r="Q12" s="555">
        <f t="shared" si="0"/>
        <v>1015.888</v>
      </c>
    </row>
    <row r="13" spans="1:17">
      <c r="A13" s="562" t="s">
        <v>658</v>
      </c>
      <c r="B13" s="563">
        <f>'Eigen vloot'!B26</f>
        <v>0</v>
      </c>
      <c r="C13" s="563">
        <f>'Eigen vloot'!C26</f>
        <v>0</v>
      </c>
      <c r="D13" s="563">
        <f>'Eigen vloot'!D26</f>
        <v>0</v>
      </c>
      <c r="E13" s="563">
        <f>'Eigen vloot'!E26</f>
        <v>56.267056850603758</v>
      </c>
      <c r="F13" s="563">
        <f>'Eigen vloot'!F26</f>
        <v>0</v>
      </c>
      <c r="G13" s="563">
        <f>'Eigen vloot'!G26</f>
        <v>327.88452098768346</v>
      </c>
      <c r="H13" s="563">
        <f>'Eigen vloot'!H26</f>
        <v>40.526913156461553</v>
      </c>
      <c r="I13" s="563">
        <f>'Eigen vloot'!I26</f>
        <v>0</v>
      </c>
      <c r="J13" s="563">
        <f>'Eigen vloot'!J26</f>
        <v>0</v>
      </c>
      <c r="K13" s="563">
        <f>'Eigen vloot'!K26</f>
        <v>0</v>
      </c>
      <c r="L13" s="563">
        <f>'Eigen vloot'!L26</f>
        <v>0</v>
      </c>
      <c r="M13" s="563">
        <f>'Eigen vloot'!M26</f>
        <v>0</v>
      </c>
      <c r="N13" s="563">
        <f>'Eigen vloot'!N26</f>
        <v>0</v>
      </c>
      <c r="O13" s="563">
        <f>'Eigen vloot'!O26</f>
        <v>0</v>
      </c>
      <c r="P13" s="564">
        <f>'Eigen vloot'!P26</f>
        <v>0</v>
      </c>
      <c r="Q13" s="562">
        <f t="shared" si="0"/>
        <v>424.67849099474876</v>
      </c>
    </row>
    <row r="14" spans="1:17" s="568" customFormat="1">
      <c r="A14" s="565" t="s">
        <v>659</v>
      </c>
      <c r="B14" s="566">
        <f t="shared" ref="B14:Q14" ca="1" si="1">SUM(B4:B13)</f>
        <v>71718.082917777065</v>
      </c>
      <c r="C14" s="566">
        <f t="shared" ca="1" si="1"/>
        <v>0</v>
      </c>
      <c r="D14" s="566">
        <f t="shared" ca="1" si="1"/>
        <v>497942.20605015865</v>
      </c>
      <c r="E14" s="566">
        <f t="shared" si="1"/>
        <v>1691.7126367253791</v>
      </c>
      <c r="F14" s="566">
        <f t="shared" ca="1" si="1"/>
        <v>20535.963105217365</v>
      </c>
      <c r="G14" s="566">
        <f t="shared" si="1"/>
        <v>46929.191009338654</v>
      </c>
      <c r="H14" s="566">
        <f t="shared" si="1"/>
        <v>9438.2179231718073</v>
      </c>
      <c r="I14" s="566">
        <f t="shared" si="1"/>
        <v>0</v>
      </c>
      <c r="J14" s="566">
        <f t="shared" si="1"/>
        <v>21.56917533962778</v>
      </c>
      <c r="K14" s="566">
        <f t="shared" si="1"/>
        <v>0</v>
      </c>
      <c r="L14" s="566">
        <f t="shared" ca="1" si="1"/>
        <v>0</v>
      </c>
      <c r="M14" s="566">
        <f t="shared" si="1"/>
        <v>2319.2740238740971</v>
      </c>
      <c r="N14" s="566">
        <f t="shared" ca="1" si="1"/>
        <v>4836.5092172339555</v>
      </c>
      <c r="O14" s="566">
        <f t="shared" si="1"/>
        <v>87.546666666666667</v>
      </c>
      <c r="P14" s="567">
        <f t="shared" si="1"/>
        <v>0</v>
      </c>
      <c r="Q14" s="567">
        <f t="shared" ca="1" si="1"/>
        <v>655520.27272550331</v>
      </c>
    </row>
    <row r="16" spans="1:17">
      <c r="A16" s="569" t="s">
        <v>660</v>
      </c>
      <c r="B16" s="957">
        <f ca="1">huishoudens!B10</f>
        <v>0.20531165224649006</v>
      </c>
      <c r="C16" s="957">
        <f ca="1">huishoudens!C10</f>
        <v>0</v>
      </c>
      <c r="D16" s="957">
        <f>huishoudens!D10</f>
        <v>0.20200000000000001</v>
      </c>
      <c r="E16" s="957">
        <f>huishoudens!E10</f>
        <v>0.22700000000000001</v>
      </c>
      <c r="F16" s="957">
        <f>huishoudens!F10</f>
        <v>0.26700000000000002</v>
      </c>
      <c r="G16" s="957">
        <f>huishoudens!G10</f>
        <v>0.26700000000000002</v>
      </c>
      <c r="H16" s="957">
        <f>huishoudens!H10</f>
        <v>0.249</v>
      </c>
      <c r="I16" s="957">
        <f>huishoudens!I10</f>
        <v>0.35099999999999998</v>
      </c>
      <c r="J16" s="957">
        <f>huishoudens!J10</f>
        <v>0.35399999999999998</v>
      </c>
      <c r="K16" s="957">
        <f>huishoudens!K10</f>
        <v>0.26400000000000001</v>
      </c>
      <c r="L16" s="957">
        <f>huishoudens!L10</f>
        <v>0</v>
      </c>
      <c r="M16" s="957">
        <f>huishoudens!M10</f>
        <v>0</v>
      </c>
      <c r="N16" s="957">
        <f>huishoudens!N10</f>
        <v>0</v>
      </c>
      <c r="O16" s="957">
        <f>huishoudens!O10</f>
        <v>0</v>
      </c>
      <c r="P16" s="957">
        <f>huishoudens!P10</f>
        <v>0</v>
      </c>
    </row>
    <row r="18" spans="1:17" ht="15.75">
      <c r="A18" s="1067" t="s">
        <v>662</v>
      </c>
      <c r="B18" s="1068" t="s">
        <v>661</v>
      </c>
      <c r="C18" s="1068"/>
      <c r="D18" s="1068"/>
      <c r="E18" s="1068"/>
      <c r="F18" s="1068"/>
      <c r="G18" s="1068"/>
      <c r="H18" s="1068"/>
      <c r="I18" s="1068"/>
      <c r="J18" s="1068"/>
      <c r="K18" s="1068"/>
      <c r="L18" s="1068"/>
      <c r="M18" s="1068"/>
      <c r="N18" s="1068"/>
      <c r="O18" s="1068"/>
      <c r="P18" s="1069"/>
      <c r="Q18" s="553"/>
    </row>
    <row r="19" spans="1:17" ht="15" customHeight="1">
      <c r="A19" s="1067"/>
      <c r="B19" s="1070" t="s">
        <v>21</v>
      </c>
      <c r="C19" s="1072" t="s">
        <v>202</v>
      </c>
      <c r="D19" s="1074" t="s">
        <v>203</v>
      </c>
      <c r="E19" s="1075"/>
      <c r="F19" s="1075"/>
      <c r="G19" s="1075"/>
      <c r="H19" s="1075"/>
      <c r="I19" s="1075"/>
      <c r="J19" s="1075"/>
      <c r="K19" s="1071"/>
      <c r="L19" s="1074" t="s">
        <v>204</v>
      </c>
      <c r="M19" s="1075"/>
      <c r="N19" s="1075"/>
      <c r="O19" s="1075"/>
      <c r="P19" s="1071"/>
      <c r="Q19" s="553"/>
    </row>
    <row r="20" spans="1:17" ht="45">
      <c r="A20" s="1067"/>
      <c r="B20" s="1071"/>
      <c r="C20" s="1073"/>
      <c r="D20" s="553" t="s">
        <v>205</v>
      </c>
      <c r="E20" s="553" t="s">
        <v>206</v>
      </c>
      <c r="F20" s="553" t="s">
        <v>207</v>
      </c>
      <c r="G20" s="553" t="s">
        <v>208</v>
      </c>
      <c r="H20" s="553" t="s">
        <v>123</v>
      </c>
      <c r="I20" s="553" t="s">
        <v>209</v>
      </c>
      <c r="J20" s="553" t="s">
        <v>210</v>
      </c>
      <c r="K20" s="553" t="s">
        <v>211</v>
      </c>
      <c r="L20" s="553" t="s">
        <v>212</v>
      </c>
      <c r="M20" s="553" t="s">
        <v>213</v>
      </c>
      <c r="N20" s="553" t="s">
        <v>214</v>
      </c>
      <c r="O20" s="553" t="s">
        <v>215</v>
      </c>
      <c r="P20" s="553" t="s">
        <v>216</v>
      </c>
      <c r="Q20" s="553" t="s">
        <v>119</v>
      </c>
    </row>
    <row r="21" spans="1:17">
      <c r="A21" s="555" t="s">
        <v>158</v>
      </c>
      <c r="B21" s="556">
        <f t="shared" ref="B21:B30" ca="1" si="2">B4*$B$16</f>
        <v>7689.0647468260731</v>
      </c>
      <c r="C21" s="556">
        <f t="shared" ref="C21:C30" ca="1" si="3">C4*$C$16</f>
        <v>0</v>
      </c>
      <c r="D21" s="556">
        <f t="shared" ref="D21:D30" si="4">D4*$D$16</f>
        <v>25460.391295013007</v>
      </c>
      <c r="E21" s="556">
        <f t="shared" ref="E21:E30" si="5">E4*$E$16</f>
        <v>161.30543784439664</v>
      </c>
      <c r="F21" s="556">
        <f t="shared" ref="F21:F30" si="6">F4*$F$16</f>
        <v>3461.7290637594642</v>
      </c>
      <c r="G21" s="556">
        <f t="shared" ref="G21:G30" si="7">G4*$G$16</f>
        <v>0</v>
      </c>
      <c r="H21" s="556">
        <f t="shared" ref="H21:H30" si="8">H4*$H$16</f>
        <v>0</v>
      </c>
      <c r="I21" s="556">
        <f t="shared" ref="I21:I30" si="9">I4*$I$16</f>
        <v>0</v>
      </c>
      <c r="J21" s="556">
        <f t="shared" ref="J21:J30" si="10">J4*$J$16</f>
        <v>0</v>
      </c>
      <c r="K21" s="556">
        <f t="shared" ref="K21:K30" si="11">K4*$K$16</f>
        <v>0</v>
      </c>
      <c r="L21" s="556">
        <f t="shared" ref="L21:L30" si="12">L4*$L$16</f>
        <v>0</v>
      </c>
      <c r="M21" s="556">
        <f t="shared" ref="M21:M30" si="13">M4*$M$16</f>
        <v>0</v>
      </c>
      <c r="N21" s="556">
        <f t="shared" ref="N21:N30" si="14">N4*$N$16</f>
        <v>0</v>
      </c>
      <c r="O21" s="556">
        <f t="shared" ref="O21:O30" si="15">O4*$O$16</f>
        <v>0</v>
      </c>
      <c r="P21" s="570">
        <f t="shared" ref="P21:P30" si="16">P4*$P$16</f>
        <v>0</v>
      </c>
      <c r="Q21" s="558">
        <f ca="1">SUM(B21:P21)</f>
        <v>36772.490543442946</v>
      </c>
    </row>
    <row r="22" spans="1:17">
      <c r="A22" s="555" t="s">
        <v>159</v>
      </c>
      <c r="B22" s="556">
        <f t="shared" ca="1" si="2"/>
        <v>5712.6192200209734</v>
      </c>
      <c r="C22" s="556">
        <f t="shared" ca="1" si="3"/>
        <v>0</v>
      </c>
      <c r="D22" s="556">
        <f t="shared" ca="1" si="4"/>
        <v>7445.4591505747239</v>
      </c>
      <c r="E22" s="556">
        <f t="shared" si="5"/>
        <v>122.82759460190441</v>
      </c>
      <c r="F22" s="556">
        <f t="shared" ca="1" si="6"/>
        <v>1472.5213182433743</v>
      </c>
      <c r="G22" s="556">
        <f t="shared" si="7"/>
        <v>0</v>
      </c>
      <c r="H22" s="556">
        <f t="shared" si="8"/>
        <v>0</v>
      </c>
      <c r="I22" s="556">
        <f t="shared" si="9"/>
        <v>0</v>
      </c>
      <c r="J22" s="556">
        <f t="shared" si="10"/>
        <v>0</v>
      </c>
      <c r="K22" s="556">
        <f t="shared" si="11"/>
        <v>0</v>
      </c>
      <c r="L22" s="556">
        <f t="shared" ca="1" si="12"/>
        <v>0</v>
      </c>
      <c r="M22" s="556">
        <f t="shared" si="13"/>
        <v>0</v>
      </c>
      <c r="N22" s="556">
        <f t="shared" ca="1" si="14"/>
        <v>0</v>
      </c>
      <c r="O22" s="556">
        <f t="shared" si="15"/>
        <v>0</v>
      </c>
      <c r="P22" s="557">
        <f t="shared" si="16"/>
        <v>0</v>
      </c>
      <c r="Q22" s="555">
        <f t="shared" ref="Q22:Q30" ca="1" si="17">SUM(B22:P22)</f>
        <v>14753.427283440975</v>
      </c>
    </row>
    <row r="23" spans="1:17">
      <c r="A23" s="555" t="s">
        <v>200</v>
      </c>
      <c r="B23" s="556">
        <f t="shared" ca="1" si="2"/>
        <v>2.6676142976386559</v>
      </c>
      <c r="C23" s="556">
        <f t="shared" ca="1" si="3"/>
        <v>0</v>
      </c>
      <c r="D23" s="556">
        <f t="shared" si="4"/>
        <v>0</v>
      </c>
      <c r="E23" s="556">
        <f t="shared" si="5"/>
        <v>0</v>
      </c>
      <c r="F23" s="556">
        <f t="shared" si="6"/>
        <v>0</v>
      </c>
      <c r="G23" s="556">
        <f t="shared" si="7"/>
        <v>0</v>
      </c>
      <c r="H23" s="556">
        <f t="shared" si="8"/>
        <v>0</v>
      </c>
      <c r="I23" s="556">
        <f t="shared" si="9"/>
        <v>0</v>
      </c>
      <c r="J23" s="556">
        <f t="shared" si="10"/>
        <v>0</v>
      </c>
      <c r="K23" s="556">
        <f t="shared" si="11"/>
        <v>0</v>
      </c>
      <c r="L23" s="556">
        <f t="shared" si="12"/>
        <v>0</v>
      </c>
      <c r="M23" s="556">
        <f t="shared" si="13"/>
        <v>0</v>
      </c>
      <c r="N23" s="556">
        <f t="shared" si="14"/>
        <v>0</v>
      </c>
      <c r="O23" s="556">
        <f t="shared" si="15"/>
        <v>0</v>
      </c>
      <c r="P23" s="557">
        <f t="shared" si="16"/>
        <v>0</v>
      </c>
      <c r="Q23" s="555">
        <f t="shared" ca="1" si="17"/>
        <v>2.6676142976386559</v>
      </c>
    </row>
    <row r="24" spans="1:17">
      <c r="A24" s="555" t="s">
        <v>115</v>
      </c>
      <c r="B24" s="556">
        <f t="shared" ca="1" si="2"/>
        <v>35.766602504185798</v>
      </c>
      <c r="C24" s="556">
        <f t="shared" ca="1" si="3"/>
        <v>0</v>
      </c>
      <c r="D24" s="556">
        <f t="shared" si="4"/>
        <v>1304.0766233975819</v>
      </c>
      <c r="E24" s="556">
        <f t="shared" si="5"/>
        <v>0.4141222444453283</v>
      </c>
      <c r="F24" s="556">
        <f t="shared" si="6"/>
        <v>238.89872405095406</v>
      </c>
      <c r="G24" s="556">
        <f t="shared" si="7"/>
        <v>0</v>
      </c>
      <c r="H24" s="556">
        <f t="shared" si="8"/>
        <v>0</v>
      </c>
      <c r="I24" s="556">
        <f t="shared" si="9"/>
        <v>0</v>
      </c>
      <c r="J24" s="556">
        <f t="shared" si="10"/>
        <v>5.5076001053554542</v>
      </c>
      <c r="K24" s="556">
        <f t="shared" si="11"/>
        <v>0</v>
      </c>
      <c r="L24" s="556">
        <f t="shared" si="12"/>
        <v>0</v>
      </c>
      <c r="M24" s="556">
        <f t="shared" si="13"/>
        <v>0</v>
      </c>
      <c r="N24" s="556">
        <f t="shared" si="14"/>
        <v>0</v>
      </c>
      <c r="O24" s="556">
        <f t="shared" si="15"/>
        <v>0</v>
      </c>
      <c r="P24" s="557">
        <f t="shared" si="16"/>
        <v>0</v>
      </c>
      <c r="Q24" s="555">
        <f t="shared" ca="1" si="17"/>
        <v>1584.6636723025226</v>
      </c>
    </row>
    <row r="25" spans="1:17">
      <c r="A25" s="555" t="s">
        <v>429</v>
      </c>
      <c r="B25" s="556">
        <f t="shared" ca="1" si="2"/>
        <v>428.67729784439933</v>
      </c>
      <c r="C25" s="556">
        <f t="shared" ca="1" si="3"/>
        <v>0</v>
      </c>
      <c r="D25" s="556">
        <f t="shared" si="4"/>
        <v>65055.47524498585</v>
      </c>
      <c r="E25" s="556">
        <f t="shared" si="5"/>
        <v>5.5251731527577528</v>
      </c>
      <c r="F25" s="556">
        <f t="shared" si="6"/>
        <v>229.29752637689708</v>
      </c>
      <c r="G25" s="556">
        <f t="shared" si="7"/>
        <v>0</v>
      </c>
      <c r="H25" s="556">
        <f t="shared" si="8"/>
        <v>0</v>
      </c>
      <c r="I25" s="556">
        <f t="shared" si="9"/>
        <v>0</v>
      </c>
      <c r="J25" s="556">
        <f t="shared" si="10"/>
        <v>2.1278879648727789</v>
      </c>
      <c r="K25" s="556">
        <f t="shared" si="11"/>
        <v>0</v>
      </c>
      <c r="L25" s="556">
        <f t="shared" si="12"/>
        <v>0</v>
      </c>
      <c r="M25" s="556">
        <f t="shared" si="13"/>
        <v>0</v>
      </c>
      <c r="N25" s="556">
        <f t="shared" si="14"/>
        <v>0</v>
      </c>
      <c r="O25" s="556">
        <f t="shared" si="15"/>
        <v>0</v>
      </c>
      <c r="P25" s="557">
        <f t="shared" si="16"/>
        <v>0</v>
      </c>
      <c r="Q25" s="555">
        <f t="shared" ca="1" si="17"/>
        <v>65721.103130324787</v>
      </c>
    </row>
    <row r="26" spans="1:17" s="561" customFormat="1">
      <c r="A26" s="559" t="s">
        <v>666</v>
      </c>
      <c r="B26" s="951">
        <f t="shared" ca="1" si="2"/>
        <v>1.8091297791301694E-2</v>
      </c>
      <c r="C26" s="560">
        <f t="shared" ca="1" si="3"/>
        <v>0</v>
      </c>
      <c r="D26" s="560">
        <f t="shared" si="4"/>
        <v>0.16509616089415893</v>
      </c>
      <c r="E26" s="560">
        <f t="shared" si="5"/>
        <v>81.173818788069923</v>
      </c>
      <c r="F26" s="560">
        <f t="shared" si="6"/>
        <v>0</v>
      </c>
      <c r="G26" s="560">
        <f t="shared" si="7"/>
        <v>12246.878320192392</v>
      </c>
      <c r="H26" s="560">
        <f t="shared" si="8"/>
        <v>2340.0250614938209</v>
      </c>
      <c r="I26" s="560">
        <f t="shared" si="9"/>
        <v>0</v>
      </c>
      <c r="J26" s="560">
        <f t="shared" si="10"/>
        <v>0</v>
      </c>
      <c r="K26" s="560">
        <f t="shared" si="11"/>
        <v>0</v>
      </c>
      <c r="L26" s="560">
        <f t="shared" si="12"/>
        <v>0</v>
      </c>
      <c r="M26" s="560">
        <f t="shared" si="13"/>
        <v>0</v>
      </c>
      <c r="N26" s="560">
        <f t="shared" si="14"/>
        <v>0</v>
      </c>
      <c r="O26" s="560">
        <f t="shared" si="15"/>
        <v>0</v>
      </c>
      <c r="P26" s="571">
        <f t="shared" si="16"/>
        <v>0</v>
      </c>
      <c r="Q26" s="559">
        <f t="shared" ca="1" si="17"/>
        <v>14668.260387932969</v>
      </c>
    </row>
    <row r="27" spans="1:17">
      <c r="A27" s="555" t="s">
        <v>655</v>
      </c>
      <c r="B27" s="556">
        <f t="shared" ca="1" si="2"/>
        <v>290.41950848276849</v>
      </c>
      <c r="C27" s="556">
        <f t="shared" ca="1" si="3"/>
        <v>0</v>
      </c>
      <c r="D27" s="556">
        <f t="shared" si="4"/>
        <v>0</v>
      </c>
      <c r="E27" s="556">
        <f t="shared" si="5"/>
        <v>0</v>
      </c>
      <c r="F27" s="556">
        <f t="shared" si="6"/>
        <v>0</v>
      </c>
      <c r="G27" s="556">
        <f t="shared" si="7"/>
        <v>195.67051219731735</v>
      </c>
      <c r="H27" s="556">
        <f t="shared" si="8"/>
        <v>0</v>
      </c>
      <c r="I27" s="556">
        <f t="shared" si="9"/>
        <v>0</v>
      </c>
      <c r="J27" s="556">
        <f t="shared" si="10"/>
        <v>0</v>
      </c>
      <c r="K27" s="556">
        <f t="shared" si="11"/>
        <v>0</v>
      </c>
      <c r="L27" s="556">
        <f t="shared" si="12"/>
        <v>0</v>
      </c>
      <c r="M27" s="556">
        <f t="shared" si="13"/>
        <v>0</v>
      </c>
      <c r="N27" s="556">
        <f t="shared" si="14"/>
        <v>0</v>
      </c>
      <c r="O27" s="556">
        <f t="shared" si="15"/>
        <v>0</v>
      </c>
      <c r="P27" s="557">
        <f t="shared" si="16"/>
        <v>0</v>
      </c>
      <c r="Q27" s="555">
        <f t="shared" ca="1" si="17"/>
        <v>486.09002068008584</v>
      </c>
    </row>
    <row r="28" spans="1:17">
      <c r="A28" s="555" t="s">
        <v>656</v>
      </c>
      <c r="B28" s="556">
        <f t="shared" ca="1" si="2"/>
        <v>356.75137474837135</v>
      </c>
      <c r="C28" s="556">
        <f t="shared" ca="1" si="3"/>
        <v>0</v>
      </c>
      <c r="D28" s="556">
        <f t="shared" si="4"/>
        <v>1318.7582120000002</v>
      </c>
      <c r="E28" s="556">
        <f t="shared" si="5"/>
        <v>0</v>
      </c>
      <c r="F28" s="556">
        <f t="shared" si="6"/>
        <v>80.6555166623464</v>
      </c>
      <c r="G28" s="556">
        <f t="shared" si="7"/>
        <v>0</v>
      </c>
      <c r="H28" s="556">
        <f t="shared" si="8"/>
        <v>0</v>
      </c>
      <c r="I28" s="556">
        <f t="shared" si="9"/>
        <v>0</v>
      </c>
      <c r="J28" s="556">
        <f t="shared" si="10"/>
        <v>0</v>
      </c>
      <c r="K28" s="556">
        <f t="shared" si="11"/>
        <v>0</v>
      </c>
      <c r="L28" s="556">
        <f t="shared" si="12"/>
        <v>0</v>
      </c>
      <c r="M28" s="556">
        <f t="shared" si="13"/>
        <v>0</v>
      </c>
      <c r="N28" s="556">
        <f t="shared" si="14"/>
        <v>0</v>
      </c>
      <c r="O28" s="556">
        <f t="shared" si="15"/>
        <v>0</v>
      </c>
      <c r="P28" s="557">
        <f t="shared" si="16"/>
        <v>0</v>
      </c>
      <c r="Q28" s="555">
        <f t="shared" ca="1" si="17"/>
        <v>1756.1651034107178</v>
      </c>
    </row>
    <row r="29" spans="1:17">
      <c r="A29" s="555" t="s">
        <v>657</v>
      </c>
      <c r="B29" s="556">
        <f t="shared" ca="1" si="2"/>
        <v>208.5736437773823</v>
      </c>
      <c r="C29" s="556">
        <f t="shared" ca="1" si="3"/>
        <v>0</v>
      </c>
      <c r="D29" s="556">
        <f t="shared" si="4"/>
        <v>0</v>
      </c>
      <c r="E29" s="556">
        <f t="shared" si="5"/>
        <v>0</v>
      </c>
      <c r="F29" s="556">
        <f t="shared" si="6"/>
        <v>0</v>
      </c>
      <c r="G29" s="556">
        <f t="shared" si="7"/>
        <v>0</v>
      </c>
      <c r="H29" s="556">
        <f t="shared" si="8"/>
        <v>0</v>
      </c>
      <c r="I29" s="556">
        <f t="shared" si="9"/>
        <v>0</v>
      </c>
      <c r="J29" s="556">
        <f t="shared" si="10"/>
        <v>0</v>
      </c>
      <c r="K29" s="556">
        <f t="shared" si="11"/>
        <v>0</v>
      </c>
      <c r="L29" s="556">
        <f t="shared" si="12"/>
        <v>0</v>
      </c>
      <c r="M29" s="556">
        <f t="shared" si="13"/>
        <v>0</v>
      </c>
      <c r="N29" s="556">
        <f t="shared" si="14"/>
        <v>0</v>
      </c>
      <c r="O29" s="556">
        <f t="shared" si="15"/>
        <v>0</v>
      </c>
      <c r="P29" s="557">
        <f t="shared" si="16"/>
        <v>0</v>
      </c>
      <c r="Q29" s="555">
        <f t="shared" ca="1" si="17"/>
        <v>208.5736437773823</v>
      </c>
    </row>
    <row r="30" spans="1:17">
      <c r="A30" s="562" t="s">
        <v>658</v>
      </c>
      <c r="B30" s="556">
        <f t="shared" ca="1" si="2"/>
        <v>0</v>
      </c>
      <c r="C30" s="556">
        <f t="shared" ca="1" si="3"/>
        <v>0</v>
      </c>
      <c r="D30" s="556">
        <f t="shared" si="4"/>
        <v>0</v>
      </c>
      <c r="E30" s="556">
        <f t="shared" si="5"/>
        <v>12.772621905087053</v>
      </c>
      <c r="F30" s="556">
        <f t="shared" si="6"/>
        <v>0</v>
      </c>
      <c r="G30" s="556">
        <f t="shared" si="7"/>
        <v>87.545167103711492</v>
      </c>
      <c r="H30" s="556">
        <f t="shared" si="8"/>
        <v>10.091201375958926</v>
      </c>
      <c r="I30" s="556">
        <f t="shared" si="9"/>
        <v>0</v>
      </c>
      <c r="J30" s="556">
        <f t="shared" si="10"/>
        <v>0</v>
      </c>
      <c r="K30" s="556">
        <f t="shared" si="11"/>
        <v>0</v>
      </c>
      <c r="L30" s="556">
        <f t="shared" si="12"/>
        <v>0</v>
      </c>
      <c r="M30" s="556">
        <f t="shared" si="13"/>
        <v>0</v>
      </c>
      <c r="N30" s="556">
        <f t="shared" si="14"/>
        <v>0</v>
      </c>
      <c r="O30" s="556">
        <f t="shared" si="15"/>
        <v>0</v>
      </c>
      <c r="P30" s="557">
        <f t="shared" si="16"/>
        <v>0</v>
      </c>
      <c r="Q30" s="555">
        <f t="shared" ca="1" si="17"/>
        <v>110.40899038475747</v>
      </c>
    </row>
    <row r="31" spans="1:17" s="568" customFormat="1">
      <c r="A31" s="565" t="s">
        <v>659</v>
      </c>
      <c r="B31" s="566">
        <f t="shared" ref="B31:Q31" ca="1" si="18">SUM(B21:B30)</f>
        <v>14724.558099799584</v>
      </c>
      <c r="C31" s="566">
        <f t="shared" ca="1" si="18"/>
        <v>0</v>
      </c>
      <c r="D31" s="566">
        <f t="shared" ca="1" si="18"/>
        <v>100584.32562213206</v>
      </c>
      <c r="E31" s="566">
        <f t="shared" si="18"/>
        <v>384.01876853666113</v>
      </c>
      <c r="F31" s="566">
        <f t="shared" ca="1" si="18"/>
        <v>5483.1021490930361</v>
      </c>
      <c r="G31" s="566">
        <f t="shared" si="18"/>
        <v>12530.093999493422</v>
      </c>
      <c r="H31" s="566">
        <f t="shared" si="18"/>
        <v>2350.1162628697798</v>
      </c>
      <c r="I31" s="566">
        <f t="shared" si="18"/>
        <v>0</v>
      </c>
      <c r="J31" s="566">
        <f t="shared" si="18"/>
        <v>7.6354880702282326</v>
      </c>
      <c r="K31" s="566">
        <f t="shared" si="18"/>
        <v>0</v>
      </c>
      <c r="L31" s="566">
        <f t="shared" ca="1" si="18"/>
        <v>0</v>
      </c>
      <c r="M31" s="566">
        <f t="shared" si="18"/>
        <v>0</v>
      </c>
      <c r="N31" s="566">
        <f t="shared" ca="1" si="18"/>
        <v>0</v>
      </c>
      <c r="O31" s="566">
        <f t="shared" si="18"/>
        <v>0</v>
      </c>
      <c r="P31" s="567">
        <f t="shared" si="18"/>
        <v>0</v>
      </c>
      <c r="Q31" s="567">
        <f t="shared" ca="1" si="18"/>
        <v>136063.85038999474</v>
      </c>
    </row>
  </sheetData>
  <mergeCells count="12">
    <mergeCell ref="A18:A20"/>
    <mergeCell ref="B18:P18"/>
    <mergeCell ref="B19:B20"/>
    <mergeCell ref="C19:C20"/>
    <mergeCell ref="D19:K19"/>
    <mergeCell ref="L19:P19"/>
    <mergeCell ref="A1:A3"/>
    <mergeCell ref="B1:P1"/>
    <mergeCell ref="B2:B3"/>
    <mergeCell ref="C2:C3"/>
    <mergeCell ref="D2:K2"/>
    <mergeCell ref="L2:P2"/>
  </mergeCells>
  <dataValidations count="1">
    <dataValidation type="list" allowBlank="1" showInputMessage="1" showErrorMessage="1" sqref="B2:D3 B19:D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18"/>
  <sheetViews>
    <sheetView showGridLines="0" workbookViewId="0">
      <selection activeCell="B32" sqref="B32"/>
    </sheetView>
  </sheetViews>
  <sheetFormatPr defaultRowHeight="15"/>
  <cols>
    <col min="1" max="1" width="39.140625" bestFit="1" customWidth="1"/>
    <col min="2" max="2" width="86.7109375" customWidth="1"/>
    <col min="3" max="3" width="132.85546875" bestFit="1" customWidth="1"/>
  </cols>
  <sheetData>
    <row r="1" spans="1:3" ht="15.75" thickBot="1"/>
    <row r="2" spans="1:3" s="22" customFormat="1" ht="54.75" customHeight="1" thickBot="1">
      <c r="A2" s="150" t="s">
        <v>423</v>
      </c>
      <c r="B2" s="125"/>
      <c r="C2" s="126"/>
    </row>
    <row r="3" spans="1:3" s="26" customFormat="1" ht="15.75">
      <c r="A3" s="113"/>
      <c r="B3" s="85"/>
      <c r="C3" s="114"/>
    </row>
    <row r="4" spans="1:3">
      <c r="A4" s="110" t="s">
        <v>400</v>
      </c>
      <c r="B4" s="84" t="s">
        <v>412</v>
      </c>
      <c r="C4" s="115" t="s">
        <v>411</v>
      </c>
    </row>
    <row r="5" spans="1:3">
      <c r="A5" s="127"/>
      <c r="B5" s="56"/>
      <c r="C5" s="111"/>
    </row>
    <row r="6" spans="1:3" ht="30">
      <c r="A6" s="128" t="s">
        <v>687</v>
      </c>
      <c r="B6" s="90" t="s">
        <v>688</v>
      </c>
      <c r="C6" s="536" t="s">
        <v>670</v>
      </c>
    </row>
    <row r="7" spans="1:3">
      <c r="A7" s="140"/>
      <c r="B7" s="144"/>
      <c r="C7" s="137"/>
    </row>
    <row r="8" spans="1:3">
      <c r="A8" s="128" t="s">
        <v>690</v>
      </c>
      <c r="B8" s="90" t="s">
        <v>689</v>
      </c>
      <c r="C8" s="536" t="s">
        <v>427</v>
      </c>
    </row>
    <row r="9" spans="1:3">
      <c r="A9" s="140"/>
      <c r="B9" s="144"/>
      <c r="C9" s="137"/>
    </row>
    <row r="10" spans="1:3">
      <c r="A10" s="128" t="s">
        <v>358</v>
      </c>
      <c r="B10" s="90" t="s">
        <v>425</v>
      </c>
      <c r="C10" s="129" t="s">
        <v>427</v>
      </c>
    </row>
    <row r="11" spans="1:3">
      <c r="A11" s="140"/>
      <c r="B11" s="144"/>
      <c r="C11" s="137"/>
    </row>
    <row r="12" spans="1:3" ht="30">
      <c r="A12" s="128" t="s">
        <v>470</v>
      </c>
      <c r="B12" s="90" t="s">
        <v>622</v>
      </c>
      <c r="C12" s="361" t="s">
        <v>721</v>
      </c>
    </row>
    <row r="13" spans="1:3">
      <c r="A13" s="156"/>
      <c r="B13" s="139"/>
      <c r="C13" s="349"/>
    </row>
    <row r="14" spans="1:3" ht="30">
      <c r="A14" s="128" t="s">
        <v>470</v>
      </c>
      <c r="B14" s="90" t="s">
        <v>622</v>
      </c>
      <c r="C14" s="361" t="s">
        <v>721</v>
      </c>
    </row>
    <row r="15" spans="1:3">
      <c r="A15" s="156"/>
      <c r="B15" s="139"/>
      <c r="C15" s="349"/>
    </row>
    <row r="16" spans="1:3" s="22" customFormat="1">
      <c r="A16" s="128" t="s">
        <v>707</v>
      </c>
      <c r="B16" s="145" t="s">
        <v>708</v>
      </c>
      <c r="C16" s="146" t="s">
        <v>709</v>
      </c>
    </row>
    <row r="17" spans="1:3" s="22" customFormat="1">
      <c r="A17" s="156"/>
      <c r="B17" s="176"/>
      <c r="C17" s="177"/>
    </row>
    <row r="18" spans="1:3" ht="21">
      <c r="A18" s="141" t="s">
        <v>558</v>
      </c>
      <c r="B18" s="140"/>
      <c r="C18" s="137"/>
    </row>
  </sheetData>
  <sheetProtection password="849B" sheet="1" objects="1" scenarios="1"/>
  <hyperlinks>
    <hyperlink ref="A6" location="'Eigen gebouwen'!A1" display="Eigen gebouwen"/>
    <hyperlink ref="A10" location="'Eigen vloot'!A1" display="Eigen vloot"/>
    <hyperlink ref="A14" location="'Eigen informatie GS &amp; warmtenet'!A1" display="Eigen informatie GS &amp; warmtenet"/>
    <hyperlink ref="A8" location="'Eigen openbare verlichting'!A1" display="Eigen openbare verlichting"/>
    <hyperlink ref="A12" location="'Eigen informatie GS &amp; warmtenet'!A1" display="Eigen informatie GS &amp; warmtenet"/>
    <hyperlink ref="A16" location="Conversiefactoren!A1" display="Conversiefactoren"/>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P35"/>
  <sheetViews>
    <sheetView showGridLines="0" zoomScale="71" zoomScaleNormal="71" workbookViewId="0">
      <selection activeCell="A4" sqref="A4"/>
    </sheetView>
  </sheetViews>
  <sheetFormatPr defaultRowHeight="15" outlineLevelRow="1"/>
  <cols>
    <col min="1" max="1" width="51.7109375" style="554" customWidth="1"/>
    <col min="2" max="2" width="15" style="554" customWidth="1"/>
    <col min="3" max="3" width="25.140625" style="554" customWidth="1"/>
    <col min="4" max="4" width="15" style="554" customWidth="1"/>
    <col min="5" max="5" width="40.5703125" style="554" customWidth="1"/>
    <col min="6" max="6" width="14.85546875" style="554" customWidth="1"/>
    <col min="7" max="7" width="6.5703125" style="554" bestFit="1" customWidth="1"/>
    <col min="8" max="8" width="8.140625" style="554" bestFit="1" customWidth="1"/>
    <col min="9" max="9" width="15.7109375" style="554" customWidth="1"/>
    <col min="10" max="10" width="15.42578125" style="554" customWidth="1"/>
    <col min="11" max="11" width="17.42578125" style="554" customWidth="1"/>
    <col min="12" max="12" width="14.5703125" style="554" customWidth="1"/>
    <col min="13" max="13" width="15.5703125" style="554" customWidth="1"/>
    <col min="14" max="14" width="17.85546875" style="554" customWidth="1"/>
    <col min="15" max="15" width="35.7109375" style="554" customWidth="1"/>
    <col min="16" max="16" width="43.5703125" style="554" customWidth="1"/>
    <col min="17" max="17" width="9.140625" style="554"/>
    <col min="18" max="18" width="20.42578125" style="554" customWidth="1"/>
    <col min="19" max="16384" width="9.140625" style="554"/>
  </cols>
  <sheetData>
    <row r="1" spans="1:16" ht="15.75" customHeight="1" outlineLevel="1" thickTop="1" thickBot="1">
      <c r="A1" s="1067" t="s">
        <v>426</v>
      </c>
      <c r="B1" s="1076" t="s">
        <v>201</v>
      </c>
      <c r="C1" s="1077"/>
      <c r="D1" s="1077"/>
      <c r="E1" s="1077"/>
      <c r="F1" s="1077"/>
      <c r="G1" s="1077"/>
      <c r="H1" s="1077"/>
      <c r="I1" s="1077"/>
      <c r="J1" s="1077"/>
      <c r="K1" s="1077"/>
      <c r="L1" s="1077"/>
      <c r="M1" s="1077"/>
      <c r="N1" s="1077"/>
      <c r="O1" s="1077"/>
      <c r="P1" s="1077"/>
    </row>
    <row r="2" spans="1:16" ht="15" customHeight="1" outlineLevel="1" thickTop="1">
      <c r="A2" s="1067"/>
      <c r="B2" s="1078" t="s">
        <v>21</v>
      </c>
      <c r="C2" s="1078" t="s">
        <v>202</v>
      </c>
      <c r="D2" s="1079" t="s">
        <v>203</v>
      </c>
      <c r="E2" s="1080"/>
      <c r="F2" s="1080"/>
      <c r="G2" s="1080"/>
      <c r="H2" s="1080"/>
      <c r="I2" s="1080"/>
      <c r="J2" s="1080"/>
      <c r="K2" s="1081"/>
      <c r="L2" s="1079" t="s">
        <v>204</v>
      </c>
      <c r="M2" s="1080"/>
      <c r="N2" s="1080"/>
      <c r="O2" s="1080"/>
      <c r="P2" s="1081"/>
    </row>
    <row r="3" spans="1:16" ht="56.25" customHeight="1" outlineLevel="1">
      <c r="A3" s="1067"/>
      <c r="B3" s="1073"/>
      <c r="C3" s="1073"/>
      <c r="D3" s="553" t="s">
        <v>205</v>
      </c>
      <c r="E3" s="553" t="s">
        <v>206</v>
      </c>
      <c r="F3" s="553" t="s">
        <v>207</v>
      </c>
      <c r="G3" s="553" t="s">
        <v>208</v>
      </c>
      <c r="H3" s="553" t="s">
        <v>123</v>
      </c>
      <c r="I3" s="553" t="s">
        <v>209</v>
      </c>
      <c r="J3" s="553" t="s">
        <v>210</v>
      </c>
      <c r="K3" s="553" t="s">
        <v>211</v>
      </c>
      <c r="L3" s="553" t="s">
        <v>212</v>
      </c>
      <c r="M3" s="553" t="s">
        <v>213</v>
      </c>
      <c r="N3" s="553" t="s">
        <v>214</v>
      </c>
      <c r="O3" s="553" t="s">
        <v>215</v>
      </c>
      <c r="P3" s="553" t="s">
        <v>216</v>
      </c>
    </row>
    <row r="4" spans="1:16" outlineLevel="1">
      <c r="A4" s="796"/>
      <c r="B4" s="572">
        <v>1737.6089999999999</v>
      </c>
      <c r="C4" s="572"/>
      <c r="D4" s="572">
        <v>6528.5060000000003</v>
      </c>
      <c r="E4" s="572">
        <v>0</v>
      </c>
      <c r="F4" s="572">
        <v>302.08058675036102</v>
      </c>
      <c r="G4" s="606"/>
      <c r="H4" s="606"/>
      <c r="I4" s="572"/>
      <c r="J4" s="572"/>
      <c r="K4" s="572"/>
      <c r="L4" s="572"/>
      <c r="M4" s="572"/>
      <c r="N4" s="572">
        <v>0</v>
      </c>
      <c r="O4" s="572">
        <v>7179.6</v>
      </c>
      <c r="P4" s="572">
        <v>0</v>
      </c>
    </row>
    <row r="5" spans="1:16" outlineLevel="1">
      <c r="A5" s="796"/>
      <c r="B5" s="572"/>
      <c r="C5" s="572"/>
      <c r="D5" s="572"/>
      <c r="E5" s="572"/>
      <c r="F5" s="572"/>
      <c r="G5" s="606"/>
      <c r="H5" s="606"/>
      <c r="I5" s="572"/>
      <c r="J5" s="572"/>
      <c r="K5" s="572"/>
      <c r="L5" s="572"/>
      <c r="M5" s="572"/>
      <c r="N5" s="572"/>
      <c r="O5" s="572"/>
      <c r="P5" s="572"/>
    </row>
    <row r="6" spans="1:16" outlineLevel="1">
      <c r="A6" s="796"/>
      <c r="B6" s="572"/>
      <c r="C6" s="572"/>
      <c r="D6" s="572"/>
      <c r="E6" s="572"/>
      <c r="F6" s="572"/>
      <c r="G6" s="606"/>
      <c r="H6" s="606"/>
      <c r="I6" s="572"/>
      <c r="J6" s="572"/>
      <c r="K6" s="572"/>
      <c r="L6" s="572"/>
      <c r="M6" s="572"/>
      <c r="N6" s="572"/>
      <c r="O6" s="572"/>
      <c r="P6" s="572"/>
    </row>
    <row r="7" spans="1:16" outlineLevel="1">
      <c r="A7" s="574"/>
      <c r="B7" s="572"/>
      <c r="C7" s="572"/>
      <c r="D7" s="572"/>
      <c r="E7" s="572"/>
      <c r="F7" s="572"/>
      <c r="G7" s="606"/>
      <c r="H7" s="606"/>
      <c r="I7" s="572"/>
      <c r="J7" s="572"/>
      <c r="K7" s="572"/>
      <c r="L7" s="572"/>
      <c r="M7" s="572"/>
      <c r="N7" s="572"/>
      <c r="O7" s="572"/>
      <c r="P7" s="572"/>
    </row>
    <row r="8" spans="1:16" outlineLevel="1">
      <c r="A8" s="797"/>
      <c r="B8" s="572"/>
      <c r="C8" s="572"/>
      <c r="D8" s="572"/>
      <c r="E8" s="572"/>
      <c r="F8" s="572"/>
      <c r="G8" s="606"/>
      <c r="H8" s="606"/>
      <c r="I8" s="572"/>
      <c r="J8" s="572"/>
      <c r="K8" s="572"/>
      <c r="L8" s="572"/>
      <c r="M8" s="572"/>
      <c r="N8" s="572"/>
      <c r="O8" s="572"/>
      <c r="P8" s="572"/>
    </row>
    <row r="9" spans="1:16" outlineLevel="1">
      <c r="A9" s="574"/>
      <c r="B9" s="572"/>
      <c r="C9" s="572"/>
      <c r="D9" s="572"/>
      <c r="E9" s="572"/>
      <c r="F9" s="572"/>
      <c r="G9" s="606"/>
      <c r="H9" s="606"/>
      <c r="I9" s="572"/>
      <c r="J9" s="572"/>
      <c r="K9" s="572"/>
      <c r="L9" s="572"/>
      <c r="M9" s="572"/>
      <c r="N9" s="572"/>
      <c r="O9" s="572"/>
      <c r="P9" s="572"/>
    </row>
    <row r="10" spans="1:16" outlineLevel="1">
      <c r="A10" s="574"/>
      <c r="B10" s="572"/>
      <c r="C10" s="572"/>
      <c r="D10" s="572"/>
      <c r="E10" s="572"/>
      <c r="F10" s="572"/>
      <c r="G10" s="606"/>
      <c r="H10" s="606"/>
      <c r="I10" s="572"/>
      <c r="J10" s="572"/>
      <c r="K10" s="572"/>
      <c r="L10" s="572"/>
      <c r="M10" s="572"/>
      <c r="N10" s="572"/>
      <c r="O10" s="572"/>
      <c r="P10" s="572"/>
    </row>
    <row r="11" spans="1:16" outlineLevel="1">
      <c r="A11" s="574"/>
      <c r="B11" s="572"/>
      <c r="C11" s="572"/>
      <c r="D11" s="572"/>
      <c r="E11" s="572"/>
      <c r="F11" s="572"/>
      <c r="G11" s="606"/>
      <c r="H11" s="606"/>
      <c r="I11" s="572"/>
      <c r="J11" s="572"/>
      <c r="K11" s="572"/>
      <c r="L11" s="572"/>
      <c r="M11" s="572"/>
      <c r="N11" s="572"/>
      <c r="O11" s="572"/>
      <c r="P11" s="572"/>
    </row>
    <row r="12" spans="1:16" ht="15.75" outlineLevel="1" thickBot="1">
      <c r="B12" s="572"/>
      <c r="C12" s="572"/>
      <c r="D12" s="572"/>
      <c r="E12" s="572"/>
      <c r="F12" s="572"/>
      <c r="G12" s="606"/>
      <c r="H12" s="606"/>
      <c r="I12" s="572"/>
      <c r="J12" s="572"/>
      <c r="K12" s="572"/>
      <c r="L12" s="572"/>
      <c r="M12" s="572"/>
      <c r="N12" s="572"/>
      <c r="O12" s="572"/>
      <c r="P12" s="572"/>
    </row>
    <row r="13" spans="1:16" ht="25.5" customHeight="1" outlineLevel="1" thickBot="1">
      <c r="A13" s="575" t="s">
        <v>684</v>
      </c>
      <c r="B13" s="556"/>
      <c r="C13" s="576"/>
      <c r="D13" s="576"/>
      <c r="E13" s="576"/>
      <c r="F13" s="576"/>
      <c r="G13" s="576"/>
      <c r="H13" s="576"/>
      <c r="I13" s="576"/>
      <c r="J13" s="576"/>
      <c r="K13" s="576"/>
      <c r="L13" s="576"/>
      <c r="M13" s="576"/>
      <c r="N13" s="576"/>
      <c r="O13" s="958" t="s">
        <v>762</v>
      </c>
      <c r="P13" s="958" t="s">
        <v>761</v>
      </c>
    </row>
    <row r="14" spans="1:16" outlineLevel="1"/>
    <row r="15" spans="1:16" s="568" customFormat="1" outlineLevel="1">
      <c r="A15" s="577" t="s">
        <v>318</v>
      </c>
      <c r="B15" s="578">
        <f>SUM(B4:B12)</f>
        <v>1737.6089999999999</v>
      </c>
      <c r="C15" s="578">
        <f t="shared" ref="C15:N15" si="0">SUM(C4:C13)</f>
        <v>0</v>
      </c>
      <c r="D15" s="578">
        <f t="shared" si="0"/>
        <v>6528.5060000000003</v>
      </c>
      <c r="E15" s="578">
        <f t="shared" si="0"/>
        <v>0</v>
      </c>
      <c r="F15" s="578">
        <f t="shared" si="0"/>
        <v>302.08058675036102</v>
      </c>
      <c r="G15" s="578"/>
      <c r="H15" s="578"/>
      <c r="I15" s="578">
        <f t="shared" si="0"/>
        <v>0</v>
      </c>
      <c r="J15" s="578">
        <f t="shared" si="0"/>
        <v>0</v>
      </c>
      <c r="K15" s="578">
        <f t="shared" si="0"/>
        <v>0</v>
      </c>
      <c r="L15" s="578">
        <f t="shared" si="0"/>
        <v>0</v>
      </c>
      <c r="M15" s="578">
        <f t="shared" si="0"/>
        <v>0</v>
      </c>
      <c r="N15" s="578">
        <f t="shared" si="0"/>
        <v>0</v>
      </c>
      <c r="O15" s="579">
        <f>B24*B25*B27</f>
        <v>0</v>
      </c>
      <c r="P15" s="579">
        <f>B31*B32*B33/1000</f>
        <v>0</v>
      </c>
    </row>
    <row r="16" spans="1:16" outlineLevel="1">
      <c r="B16" s="582"/>
      <c r="C16" s="582"/>
      <c r="D16" s="582"/>
      <c r="E16" s="582"/>
      <c r="F16" s="582"/>
      <c r="G16" s="582"/>
      <c r="H16" s="582"/>
      <c r="I16" s="582"/>
      <c r="J16" s="582"/>
      <c r="K16" s="582"/>
      <c r="L16" s="582"/>
      <c r="M16" s="582"/>
      <c r="N16" s="582"/>
      <c r="O16" s="582"/>
      <c r="P16" s="582"/>
    </row>
    <row r="17" spans="1:16" outlineLevel="1">
      <c r="A17" s="583" t="s">
        <v>712</v>
      </c>
      <c r="B17" s="608">
        <f ca="1">'EF ele_warmte'!B12</f>
        <v>0.20531165224649006</v>
      </c>
      <c r="C17" s="608">
        <f ca="1">'EF ele_warmte'!B22</f>
        <v>0</v>
      </c>
      <c r="D17" s="608">
        <f>EF_CO2_aardgas</f>
        <v>0.20200000000000001</v>
      </c>
      <c r="E17" s="608">
        <f>EF_VLgas_CO2</f>
        <v>0.22700000000000001</v>
      </c>
      <c r="F17" s="608">
        <f>EF_stookolie_CO2</f>
        <v>0.26700000000000002</v>
      </c>
      <c r="G17" s="608"/>
      <c r="H17" s="608"/>
      <c r="I17" s="608">
        <f>EF_bruinkool_CO2</f>
        <v>0.35099999999999998</v>
      </c>
      <c r="J17" s="608">
        <f>EF_steenkool_CO2</f>
        <v>0.35399999999999998</v>
      </c>
      <c r="K17" s="608">
        <f>EF_anderfossiel_CO2</f>
        <v>0.26400000000000001</v>
      </c>
      <c r="L17" s="608">
        <f>'EF brandstof'!J4</f>
        <v>0</v>
      </c>
      <c r="M17" s="608">
        <f>'EF brandstof'!K4</f>
        <v>0</v>
      </c>
      <c r="N17" s="608">
        <f>'EF brandstof'!L4</f>
        <v>0</v>
      </c>
      <c r="O17" s="608">
        <v>0</v>
      </c>
      <c r="P17" s="608">
        <v>0</v>
      </c>
    </row>
    <row r="18" spans="1:16" outlineLevel="1">
      <c r="B18" s="582"/>
      <c r="C18" s="582"/>
      <c r="D18" s="582"/>
      <c r="E18" s="582"/>
      <c r="F18" s="582"/>
      <c r="G18" s="582"/>
      <c r="H18" s="582"/>
      <c r="I18" s="582"/>
      <c r="J18" s="582"/>
      <c r="K18" s="582"/>
      <c r="L18" s="582"/>
      <c r="M18" s="582"/>
      <c r="N18" s="582"/>
      <c r="O18" s="582"/>
      <c r="P18" s="582"/>
    </row>
    <row r="19" spans="1:16" outlineLevel="1">
      <c r="A19" s="577" t="s">
        <v>219</v>
      </c>
      <c r="B19" s="584">
        <f ca="1">B15*B17</f>
        <v>356.75137474837135</v>
      </c>
      <c r="C19" s="584">
        <f ca="1">C15*C17</f>
        <v>0</v>
      </c>
      <c r="D19" s="584">
        <f>D15*D17</f>
        <v>1318.7582120000002</v>
      </c>
      <c r="E19" s="584">
        <f>E15*E17</f>
        <v>0</v>
      </c>
      <c r="F19" s="584">
        <f>F15*F17</f>
        <v>80.6555166623464</v>
      </c>
      <c r="G19" s="584"/>
      <c r="H19" s="584"/>
      <c r="I19" s="584">
        <f t="shared" ref="I19:P19" si="1">I15*I17</f>
        <v>0</v>
      </c>
      <c r="J19" s="584">
        <f t="shared" si="1"/>
        <v>0</v>
      </c>
      <c r="K19" s="584">
        <f t="shared" si="1"/>
        <v>0</v>
      </c>
      <c r="L19" s="584">
        <f t="shared" si="1"/>
        <v>0</v>
      </c>
      <c r="M19" s="584">
        <f t="shared" si="1"/>
        <v>0</v>
      </c>
      <c r="N19" s="584">
        <f t="shared" si="1"/>
        <v>0</v>
      </c>
      <c r="O19" s="584">
        <f t="shared" si="1"/>
        <v>0</v>
      </c>
      <c r="P19" s="584">
        <f t="shared" si="1"/>
        <v>0</v>
      </c>
    </row>
    <row r="22" spans="1:16" s="556" customFormat="1" ht="15" customHeight="1" outlineLevel="1">
      <c r="A22" s="585" t="s">
        <v>573</v>
      </c>
      <c r="B22" s="586"/>
      <c r="C22" s="587"/>
      <c r="D22" s="588"/>
      <c r="E22" s="589"/>
    </row>
    <row r="23" spans="1:16" s="61" customFormat="1" ht="15" customHeight="1" outlineLevel="1">
      <c r="A23" s="590"/>
      <c r="B23" s="591"/>
      <c r="C23" s="592" t="s">
        <v>417</v>
      </c>
      <c r="D23" s="592" t="s">
        <v>188</v>
      </c>
      <c r="E23" s="593"/>
    </row>
    <row r="24" spans="1:16" s="556" customFormat="1" ht="15" customHeight="1" outlineLevel="1">
      <c r="A24" s="594" t="s">
        <v>279</v>
      </c>
      <c r="B24" s="60"/>
      <c r="C24" s="595"/>
      <c r="D24" s="596"/>
      <c r="E24" s="557"/>
    </row>
    <row r="25" spans="1:16" s="556" customFormat="1" outlineLevel="1">
      <c r="A25" s="594" t="s">
        <v>538</v>
      </c>
      <c r="B25" s="61">
        <v>4.2</v>
      </c>
      <c r="C25" s="595"/>
      <c r="D25" s="597" t="s">
        <v>605</v>
      </c>
      <c r="E25" s="571"/>
    </row>
    <row r="26" spans="1:16" s="556" customFormat="1" outlineLevel="1">
      <c r="A26" s="963" t="s">
        <v>539</v>
      </c>
      <c r="B26" s="964">
        <f>1.34/3.6</f>
        <v>0.37222222222222223</v>
      </c>
      <c r="C26" s="595" t="s">
        <v>229</v>
      </c>
      <c r="D26" s="597" t="s">
        <v>605</v>
      </c>
      <c r="E26" s="571"/>
    </row>
    <row r="27" spans="1:16" s="556" customFormat="1" outlineLevel="1">
      <c r="A27" s="598" t="s">
        <v>744</v>
      </c>
      <c r="B27" s="966">
        <f>B24*B25*B26</f>
        <v>0</v>
      </c>
      <c r="C27" s="599" t="s">
        <v>745</v>
      </c>
      <c r="D27" s="600"/>
      <c r="E27" s="601"/>
    </row>
    <row r="28" spans="1:16" s="556" customFormat="1" outlineLevel="1">
      <c r="A28" s="61"/>
      <c r="B28" s="61"/>
      <c r="C28" s="602"/>
      <c r="D28" s="595"/>
    </row>
    <row r="29" spans="1:16" s="556" customFormat="1" outlineLevel="1">
      <c r="A29" s="603" t="s">
        <v>574</v>
      </c>
      <c r="B29" s="586"/>
      <c r="C29" s="587"/>
      <c r="D29" s="588"/>
      <c r="E29" s="589"/>
    </row>
    <row r="30" spans="1:16" s="61" customFormat="1" outlineLevel="1">
      <c r="A30" s="604"/>
      <c r="B30" s="591"/>
      <c r="C30" s="592" t="s">
        <v>417</v>
      </c>
      <c r="D30" s="592" t="s">
        <v>188</v>
      </c>
      <c r="E30" s="593"/>
    </row>
    <row r="31" spans="1:16" s="556" customFormat="1" outlineLevel="1">
      <c r="A31" s="594" t="s">
        <v>537</v>
      </c>
      <c r="B31" s="60"/>
      <c r="C31" s="595"/>
      <c r="D31" s="596"/>
      <c r="E31" s="557"/>
    </row>
    <row r="32" spans="1:16" s="556" customFormat="1" outlineLevel="1">
      <c r="A32" s="594" t="s">
        <v>535</v>
      </c>
      <c r="B32" s="61">
        <v>13</v>
      </c>
      <c r="C32" s="602" t="s">
        <v>276</v>
      </c>
      <c r="D32" s="597" t="s">
        <v>605</v>
      </c>
      <c r="E32" s="557"/>
    </row>
    <row r="33" spans="1:5" s="556" customFormat="1" outlineLevel="1">
      <c r="A33" s="594" t="s">
        <v>536</v>
      </c>
      <c r="B33" s="61">
        <v>2000</v>
      </c>
      <c r="C33" s="602" t="s">
        <v>278</v>
      </c>
      <c r="D33" s="597" t="s">
        <v>605</v>
      </c>
      <c r="E33" s="557"/>
    </row>
    <row r="34" spans="1:5" s="556" customFormat="1" outlineLevel="1">
      <c r="A34" s="963" t="s">
        <v>422</v>
      </c>
      <c r="B34" s="61">
        <v>3.75</v>
      </c>
      <c r="C34" s="602"/>
      <c r="D34" s="597" t="s">
        <v>605</v>
      </c>
      <c r="E34" s="557"/>
    </row>
    <row r="35" spans="1:5" s="556" customFormat="1" outlineLevel="1">
      <c r="A35" s="598" t="s">
        <v>744</v>
      </c>
      <c r="B35" s="965">
        <f>B31*B32*B33/1000-B31*B32*B33/1000/B34</f>
        <v>0</v>
      </c>
      <c r="C35" s="605" t="s">
        <v>745</v>
      </c>
      <c r="D35" s="600"/>
      <c r="E35" s="564"/>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19"/>
  <sheetViews>
    <sheetView showGridLines="0" zoomScaleNormal="100" workbookViewId="0">
      <selection activeCell="A4" sqref="A4:XFD4"/>
    </sheetView>
  </sheetViews>
  <sheetFormatPr defaultRowHeight="15" outlineLevelRow="1"/>
  <cols>
    <col min="1" max="1" width="51.7109375" style="554" customWidth="1"/>
    <col min="2" max="2" width="15" style="554" customWidth="1"/>
    <col min="3" max="3" width="25.140625" style="554" customWidth="1"/>
    <col min="4" max="4" width="15" style="554" customWidth="1"/>
    <col min="5" max="5" width="40.5703125" style="554" customWidth="1"/>
    <col min="6" max="6" width="14.85546875" style="554" customWidth="1"/>
    <col min="7" max="7" width="6.5703125" style="554" bestFit="1" customWidth="1"/>
    <col min="8" max="8" width="8.140625" style="554" bestFit="1" customWidth="1"/>
    <col min="9" max="9" width="15.7109375" style="554" customWidth="1"/>
    <col min="10" max="10" width="15.42578125" style="554" customWidth="1"/>
    <col min="11" max="11" width="17.42578125" style="554" customWidth="1"/>
    <col min="12" max="12" width="14.5703125" style="554" customWidth="1"/>
    <col min="13" max="13" width="15.5703125" style="554" customWidth="1"/>
    <col min="14" max="14" width="17.85546875" style="554" customWidth="1"/>
    <col min="15" max="15" width="26.42578125" style="554" bestFit="1" customWidth="1"/>
    <col min="16" max="16" width="43.5703125" style="554" customWidth="1"/>
    <col min="17" max="17" width="9.140625" style="554"/>
    <col min="18" max="18" width="20.42578125" style="554" customWidth="1"/>
    <col min="19" max="16384" width="9.140625" style="554"/>
  </cols>
  <sheetData>
    <row r="1" spans="1:16" ht="15.75" customHeight="1" outlineLevel="1" thickTop="1" thickBot="1">
      <c r="A1" s="1067" t="s">
        <v>426</v>
      </c>
      <c r="B1" s="1076" t="s">
        <v>201</v>
      </c>
      <c r="C1" s="1077"/>
      <c r="D1" s="1077"/>
      <c r="E1" s="1077"/>
      <c r="F1" s="1077"/>
      <c r="G1" s="1077"/>
      <c r="H1" s="1077"/>
      <c r="I1" s="1077"/>
      <c r="J1" s="1077"/>
      <c r="K1" s="1077"/>
      <c r="L1" s="1077"/>
      <c r="M1" s="1077"/>
      <c r="N1" s="1077"/>
      <c r="O1" s="1077"/>
      <c r="P1" s="1077"/>
    </row>
    <row r="2" spans="1:16" ht="15" customHeight="1" outlineLevel="1" thickTop="1">
      <c r="A2" s="1067"/>
      <c r="B2" s="1078" t="s">
        <v>21</v>
      </c>
      <c r="C2" s="1078" t="s">
        <v>202</v>
      </c>
      <c r="D2" s="1079" t="s">
        <v>203</v>
      </c>
      <c r="E2" s="1080"/>
      <c r="F2" s="1080"/>
      <c r="G2" s="1080"/>
      <c r="H2" s="1080"/>
      <c r="I2" s="1080"/>
      <c r="J2" s="1080"/>
      <c r="K2" s="1081"/>
      <c r="L2" s="1079" t="s">
        <v>204</v>
      </c>
      <c r="M2" s="1080"/>
      <c r="N2" s="1080"/>
      <c r="O2" s="1080"/>
      <c r="P2" s="1081"/>
    </row>
    <row r="3" spans="1:16" ht="56.25" customHeight="1" outlineLevel="1">
      <c r="A3" s="1067"/>
      <c r="B3" s="1073"/>
      <c r="C3" s="1073"/>
      <c r="D3" s="553" t="s">
        <v>205</v>
      </c>
      <c r="E3" s="553" t="s">
        <v>206</v>
      </c>
      <c r="F3" s="553" t="s">
        <v>207</v>
      </c>
      <c r="G3" s="553" t="s">
        <v>208</v>
      </c>
      <c r="H3" s="553" t="s">
        <v>123</v>
      </c>
      <c r="I3" s="553" t="s">
        <v>209</v>
      </c>
      <c r="J3" s="553" t="s">
        <v>210</v>
      </c>
      <c r="K3" s="553" t="s">
        <v>211</v>
      </c>
      <c r="L3" s="553" t="s">
        <v>212</v>
      </c>
      <c r="M3" s="553" t="s">
        <v>213</v>
      </c>
      <c r="N3" s="553" t="s">
        <v>214</v>
      </c>
      <c r="O3" s="553" t="s">
        <v>215</v>
      </c>
      <c r="P3" s="553" t="s">
        <v>216</v>
      </c>
    </row>
    <row r="4" spans="1:16" outlineLevel="1">
      <c r="A4" s="574"/>
      <c r="B4" s="572">
        <f>'[1]overzicht gegevens'!DJ75/1000</f>
        <v>1015.888</v>
      </c>
      <c r="C4" s="606"/>
      <c r="D4" s="606"/>
      <c r="E4" s="606"/>
      <c r="F4" s="606"/>
      <c r="G4" s="606"/>
      <c r="H4" s="606"/>
      <c r="I4" s="606"/>
      <c r="J4" s="606"/>
      <c r="K4" s="606"/>
      <c r="L4" s="606"/>
      <c r="M4" s="606"/>
      <c r="N4" s="606"/>
      <c r="O4" s="606"/>
      <c r="P4" s="606"/>
    </row>
    <row r="5" spans="1:16" outlineLevel="1">
      <c r="A5" s="574"/>
      <c r="B5" s="572"/>
      <c r="C5" s="606"/>
      <c r="D5" s="606"/>
      <c r="E5" s="606"/>
      <c r="F5" s="606"/>
      <c r="G5" s="606"/>
      <c r="H5" s="606"/>
      <c r="I5" s="606"/>
      <c r="J5" s="606"/>
      <c r="K5" s="606"/>
      <c r="L5" s="606"/>
      <c r="M5" s="606"/>
      <c r="N5" s="606"/>
      <c r="O5" s="606"/>
      <c r="P5" s="606"/>
    </row>
    <row r="6" spans="1:16" outlineLevel="1">
      <c r="A6" s="574"/>
      <c r="B6" s="572"/>
      <c r="C6" s="606"/>
      <c r="D6" s="606"/>
      <c r="E6" s="606"/>
      <c r="F6" s="606"/>
      <c r="G6" s="606"/>
      <c r="H6" s="606"/>
      <c r="I6" s="606"/>
      <c r="J6" s="606"/>
      <c r="K6" s="606"/>
      <c r="L6" s="606"/>
      <c r="M6" s="606"/>
      <c r="N6" s="606"/>
      <c r="O6" s="606"/>
      <c r="P6" s="606"/>
    </row>
    <row r="7" spans="1:16" outlineLevel="1">
      <c r="A7" s="574"/>
      <c r="B7" s="572"/>
      <c r="C7" s="606"/>
      <c r="D7" s="606"/>
      <c r="E7" s="606"/>
      <c r="F7" s="606"/>
      <c r="G7" s="606"/>
      <c r="H7" s="606"/>
      <c r="I7" s="606"/>
      <c r="J7" s="606"/>
      <c r="K7" s="606"/>
      <c r="L7" s="606"/>
      <c r="M7" s="606"/>
      <c r="N7" s="606"/>
      <c r="O7" s="606"/>
      <c r="P7" s="606"/>
    </row>
    <row r="8" spans="1:16" outlineLevel="1">
      <c r="A8" s="797"/>
      <c r="B8" s="572"/>
      <c r="C8" s="606"/>
      <c r="D8" s="606"/>
      <c r="E8" s="606"/>
      <c r="F8" s="606"/>
      <c r="G8" s="606"/>
      <c r="H8" s="606"/>
      <c r="I8" s="606"/>
      <c r="J8" s="606"/>
      <c r="K8" s="606"/>
      <c r="L8" s="606"/>
      <c r="M8" s="606"/>
      <c r="N8" s="606"/>
      <c r="O8" s="606"/>
      <c r="P8" s="606"/>
    </row>
    <row r="9" spans="1:16" outlineLevel="1">
      <c r="A9" s="574"/>
      <c r="B9" s="572"/>
      <c r="C9" s="606"/>
      <c r="D9" s="606"/>
      <c r="E9" s="606"/>
      <c r="F9" s="606"/>
      <c r="G9" s="606"/>
      <c r="H9" s="606"/>
      <c r="I9" s="606"/>
      <c r="J9" s="606"/>
      <c r="K9" s="606"/>
      <c r="L9" s="606"/>
      <c r="M9" s="606"/>
      <c r="N9" s="606"/>
      <c r="O9" s="606"/>
      <c r="P9" s="606"/>
    </row>
    <row r="10" spans="1:16" outlineLevel="1">
      <c r="A10" s="574"/>
      <c r="B10" s="572"/>
      <c r="C10" s="606"/>
      <c r="D10" s="606"/>
      <c r="E10" s="606"/>
      <c r="F10" s="606"/>
      <c r="G10" s="606"/>
      <c r="H10" s="606"/>
      <c r="I10" s="606"/>
      <c r="J10" s="606"/>
      <c r="K10" s="606"/>
      <c r="L10" s="606"/>
      <c r="M10" s="606"/>
      <c r="N10" s="606"/>
      <c r="O10" s="606"/>
      <c r="P10" s="606"/>
    </row>
    <row r="11" spans="1:16" outlineLevel="1">
      <c r="A11" s="574"/>
      <c r="B11" s="572"/>
      <c r="C11" s="606"/>
      <c r="D11" s="606"/>
      <c r="E11" s="606"/>
      <c r="F11" s="606"/>
      <c r="G11" s="606"/>
      <c r="H11" s="606"/>
      <c r="I11" s="606"/>
      <c r="J11" s="606"/>
      <c r="K11" s="606"/>
      <c r="L11" s="606"/>
      <c r="M11" s="606"/>
      <c r="N11" s="606"/>
      <c r="O11" s="606"/>
      <c r="P11" s="606"/>
    </row>
    <row r="12" spans="1:16" ht="15.75" outlineLevel="1" thickBot="1">
      <c r="A12" s="574"/>
      <c r="B12" s="572"/>
      <c r="C12" s="606"/>
      <c r="D12" s="606"/>
      <c r="E12" s="606"/>
      <c r="F12" s="606"/>
      <c r="G12" s="606"/>
      <c r="H12" s="606"/>
      <c r="I12" s="606"/>
      <c r="J12" s="606"/>
      <c r="K12" s="606"/>
      <c r="L12" s="606"/>
      <c r="M12" s="606"/>
      <c r="N12" s="606"/>
      <c r="O12" s="606"/>
      <c r="P12" s="606"/>
    </row>
    <row r="13" spans="1:16" ht="25.5" customHeight="1" outlineLevel="1" thickBot="1">
      <c r="A13" s="575" t="s">
        <v>684</v>
      </c>
      <c r="B13" s="556"/>
      <c r="C13" s="576"/>
      <c r="D13" s="576"/>
      <c r="E13" s="576"/>
      <c r="F13" s="576"/>
      <c r="G13" s="576"/>
      <c r="H13" s="576"/>
      <c r="I13" s="576"/>
      <c r="J13" s="576"/>
      <c r="K13" s="576"/>
      <c r="L13" s="576"/>
      <c r="M13" s="576"/>
      <c r="N13" s="576"/>
      <c r="O13" s="1082"/>
      <c r="P13" s="1082"/>
    </row>
    <row r="14" spans="1:16" outlineLevel="1">
      <c r="A14" s="574"/>
      <c r="B14" s="66"/>
      <c r="C14" s="606"/>
      <c r="D14" s="606"/>
      <c r="E14" s="606"/>
      <c r="F14" s="606"/>
      <c r="G14" s="606"/>
      <c r="H14" s="606"/>
      <c r="I14" s="606"/>
      <c r="J14" s="606"/>
      <c r="K14" s="606"/>
      <c r="L14" s="606"/>
      <c r="M14" s="606"/>
      <c r="N14" s="606"/>
      <c r="O14" s="606"/>
      <c r="P14" s="606"/>
    </row>
    <row r="15" spans="1:16" s="568" customFormat="1" outlineLevel="1">
      <c r="A15" s="577" t="s">
        <v>319</v>
      </c>
      <c r="B15" s="578">
        <f>SUM(B4:B12)</f>
        <v>1015.888</v>
      </c>
      <c r="C15" s="580"/>
      <c r="D15" s="580"/>
      <c r="E15" s="580"/>
      <c r="F15" s="580"/>
      <c r="G15" s="580"/>
      <c r="H15" s="580"/>
      <c r="I15" s="580"/>
      <c r="J15" s="580"/>
      <c r="K15" s="580"/>
      <c r="L15" s="580"/>
      <c r="M15" s="580"/>
      <c r="N15" s="580"/>
      <c r="O15" s="581"/>
      <c r="P15" s="581"/>
    </row>
    <row r="16" spans="1:16" outlineLevel="1">
      <c r="B16" s="582"/>
      <c r="C16" s="582"/>
      <c r="D16" s="582"/>
      <c r="E16" s="582"/>
      <c r="F16" s="582"/>
      <c r="G16" s="582"/>
      <c r="H16" s="582"/>
      <c r="I16" s="582"/>
      <c r="J16" s="582"/>
      <c r="K16" s="582"/>
      <c r="L16" s="582"/>
      <c r="M16" s="582"/>
      <c r="N16" s="582"/>
      <c r="O16" s="582"/>
      <c r="P16" s="582"/>
    </row>
    <row r="17" spans="1:16" outlineLevel="1">
      <c r="A17" s="583" t="s">
        <v>712</v>
      </c>
      <c r="B17" s="608">
        <f ca="1">'EF ele_warmte'!B12</f>
        <v>0.20531165224649006</v>
      </c>
      <c r="C17" s="608">
        <f ca="1">'EF ele_warmte'!B22</f>
        <v>0</v>
      </c>
      <c r="D17" s="608">
        <f>EF_CO2_aardgas</f>
        <v>0.20200000000000001</v>
      </c>
      <c r="E17" s="608">
        <f>EF_VLgas_CO2</f>
        <v>0.22700000000000001</v>
      </c>
      <c r="F17" s="608">
        <f>EF_stookolie_CO2</f>
        <v>0.26700000000000002</v>
      </c>
      <c r="G17" s="608"/>
      <c r="H17" s="608"/>
      <c r="I17" s="608">
        <f>EF_bruinkool_CO2</f>
        <v>0.35099999999999998</v>
      </c>
      <c r="J17" s="608">
        <f>EF_steenkool_CO2</f>
        <v>0.35399999999999998</v>
      </c>
      <c r="K17" s="608">
        <f>EF_anderfossiel_CO2</f>
        <v>0.26400000000000001</v>
      </c>
      <c r="L17" s="608">
        <f>'EF brandstof'!J4</f>
        <v>0</v>
      </c>
      <c r="M17" s="608">
        <f>'EF brandstof'!K4</f>
        <v>0</v>
      </c>
      <c r="N17" s="608">
        <f>'EF brandstof'!L4</f>
        <v>0</v>
      </c>
      <c r="O17" s="608">
        <v>0</v>
      </c>
      <c r="P17" s="608">
        <v>0</v>
      </c>
    </row>
    <row r="18" spans="1:16" outlineLevel="1">
      <c r="B18" s="582"/>
      <c r="C18" s="582"/>
      <c r="D18" s="582"/>
      <c r="E18" s="582"/>
      <c r="F18" s="582"/>
      <c r="G18" s="582"/>
      <c r="H18" s="582"/>
      <c r="I18" s="582"/>
      <c r="J18" s="582"/>
      <c r="K18" s="582"/>
      <c r="L18" s="582"/>
      <c r="M18" s="582"/>
      <c r="N18" s="582"/>
      <c r="O18" s="582"/>
      <c r="P18" s="582"/>
    </row>
    <row r="19" spans="1:16" outlineLevel="1">
      <c r="A19" s="577" t="s">
        <v>219</v>
      </c>
      <c r="B19" s="584">
        <f ca="1">B15*B17</f>
        <v>208.5736437773823</v>
      </c>
      <c r="C19" s="584"/>
      <c r="D19" s="584"/>
      <c r="E19" s="584"/>
      <c r="F19" s="584"/>
      <c r="G19" s="584"/>
      <c r="H19" s="584"/>
      <c r="I19" s="584"/>
      <c r="J19" s="584"/>
      <c r="K19" s="584"/>
      <c r="L19" s="584"/>
      <c r="M19" s="584"/>
      <c r="N19" s="584"/>
      <c r="O19" s="584"/>
      <c r="P19" s="584"/>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P31"/>
  <sheetViews>
    <sheetView showGridLines="0" workbookViewId="0">
      <selection activeCell="E8" sqref="E8"/>
    </sheetView>
  </sheetViews>
  <sheetFormatPr defaultRowHeight="15"/>
  <cols>
    <col min="1" max="1" width="34.7109375" style="554" customWidth="1"/>
    <col min="2" max="2" width="14.140625" style="554" customWidth="1"/>
    <col min="3" max="3" width="16.42578125" style="554" customWidth="1"/>
    <col min="4" max="4" width="15" style="554" customWidth="1"/>
    <col min="5" max="5" width="13.85546875" style="554" customWidth="1"/>
    <col min="6" max="6" width="14.85546875" style="554" customWidth="1"/>
    <col min="7" max="7" width="14.7109375" style="554" customWidth="1"/>
    <col min="8" max="8" width="14.28515625" style="554" customWidth="1"/>
    <col min="9" max="9" width="15.7109375" style="554" customWidth="1"/>
    <col min="10" max="10" width="15.42578125" style="554" customWidth="1"/>
    <col min="11" max="11" width="17.42578125" style="554" customWidth="1"/>
    <col min="12" max="12" width="14.5703125" style="554" customWidth="1"/>
    <col min="13" max="13" width="15.5703125" style="554" customWidth="1"/>
    <col min="14" max="14" width="17.85546875" style="554" customWidth="1"/>
    <col min="15" max="15" width="16.140625" style="554" customWidth="1"/>
    <col min="16" max="16" width="17.5703125" style="554" customWidth="1"/>
    <col min="17" max="17" width="9.140625" style="554"/>
    <col min="18" max="18" width="20.42578125" style="554" customWidth="1"/>
    <col min="19" max="16384" width="9.140625" style="554"/>
  </cols>
  <sheetData>
    <row r="1" spans="1:16" ht="15.75" customHeight="1" thickTop="1" thickBot="1">
      <c r="A1" s="1067" t="s">
        <v>358</v>
      </c>
      <c r="B1" s="1076" t="s">
        <v>201</v>
      </c>
      <c r="C1" s="1077"/>
      <c r="D1" s="1077"/>
      <c r="E1" s="1077"/>
      <c r="F1" s="1077"/>
      <c r="G1" s="1077"/>
      <c r="H1" s="1077"/>
      <c r="I1" s="1077"/>
      <c r="J1" s="1077"/>
      <c r="K1" s="1077"/>
      <c r="L1" s="1077"/>
      <c r="M1" s="1077"/>
      <c r="N1" s="1077"/>
      <c r="O1" s="1077"/>
      <c r="P1" s="1077"/>
    </row>
    <row r="2" spans="1:16" ht="15" customHeight="1" thickTop="1">
      <c r="A2" s="1067"/>
      <c r="B2" s="1078" t="s">
        <v>21</v>
      </c>
      <c r="C2" s="1078" t="s">
        <v>202</v>
      </c>
      <c r="D2" s="1079" t="s">
        <v>203</v>
      </c>
      <c r="E2" s="1080"/>
      <c r="F2" s="1080"/>
      <c r="G2" s="1080"/>
      <c r="H2" s="1080"/>
      <c r="I2" s="1080"/>
      <c r="J2" s="1080"/>
      <c r="K2" s="1081"/>
      <c r="L2" s="1079" t="s">
        <v>204</v>
      </c>
      <c r="M2" s="1080"/>
      <c r="N2" s="1080"/>
      <c r="O2" s="1080"/>
      <c r="P2" s="1081"/>
    </row>
    <row r="3" spans="1:16" ht="56.25" customHeight="1">
      <c r="A3" s="1067"/>
      <c r="B3" s="1073"/>
      <c r="C3" s="1073"/>
      <c r="D3" s="553" t="s">
        <v>205</v>
      </c>
      <c r="E3" s="553" t="s">
        <v>206</v>
      </c>
      <c r="F3" s="553" t="s">
        <v>207</v>
      </c>
      <c r="G3" s="553" t="s">
        <v>208</v>
      </c>
      <c r="H3" s="553" t="s">
        <v>123</v>
      </c>
      <c r="I3" s="553" t="s">
        <v>209</v>
      </c>
      <c r="J3" s="553" t="s">
        <v>210</v>
      </c>
      <c r="K3" s="553" t="s">
        <v>211</v>
      </c>
      <c r="L3" s="553" t="s">
        <v>212</v>
      </c>
      <c r="M3" s="553" t="s">
        <v>213</v>
      </c>
      <c r="N3" s="553" t="s">
        <v>214</v>
      </c>
      <c r="O3" s="553" t="s">
        <v>215</v>
      </c>
      <c r="P3" s="553" t="s">
        <v>216</v>
      </c>
    </row>
    <row r="4" spans="1:16">
      <c r="B4" s="572">
        <v>0</v>
      </c>
      <c r="C4" s="606"/>
      <c r="D4" s="573">
        <v>0</v>
      </c>
      <c r="E4" s="573">
        <v>56.267056850603758</v>
      </c>
      <c r="F4" s="606"/>
      <c r="G4" s="573">
        <v>327.88452098768346</v>
      </c>
      <c r="H4" s="573">
        <v>40.526913156461553</v>
      </c>
      <c r="I4" s="606"/>
      <c r="J4" s="606"/>
      <c r="K4" s="606"/>
      <c r="L4" s="606"/>
      <c r="M4" s="606"/>
      <c r="N4" s="606"/>
      <c r="O4" s="606"/>
      <c r="P4" s="606"/>
    </row>
    <row r="5" spans="1:16">
      <c r="B5" s="572"/>
      <c r="C5" s="66"/>
      <c r="D5" s="572"/>
      <c r="E5" s="572"/>
      <c r="F5" s="66"/>
      <c r="G5" s="572"/>
      <c r="H5" s="572"/>
      <c r="I5" s="66"/>
      <c r="J5" s="66"/>
      <c r="K5" s="66"/>
      <c r="L5" s="66"/>
      <c r="M5" s="66"/>
      <c r="N5" s="66"/>
      <c r="O5" s="66"/>
      <c r="P5" s="66"/>
    </row>
    <row r="6" spans="1:16">
      <c r="B6" s="572"/>
      <c r="C6" s="66"/>
      <c r="D6" s="572"/>
      <c r="E6" s="572"/>
      <c r="F6" s="66"/>
      <c r="G6" s="572"/>
      <c r="H6" s="572"/>
      <c r="I6" s="66"/>
      <c r="J6" s="66"/>
      <c r="K6" s="66"/>
      <c r="L6" s="66"/>
      <c r="M6" s="66"/>
      <c r="N6" s="66"/>
      <c r="O6" s="66"/>
      <c r="P6" s="66"/>
    </row>
    <row r="7" spans="1:16">
      <c r="B7" s="572"/>
      <c r="C7" s="66"/>
      <c r="D7" s="572"/>
      <c r="E7" s="572"/>
      <c r="F7" s="66"/>
      <c r="G7" s="572"/>
      <c r="H7" s="572"/>
      <c r="I7" s="66"/>
      <c r="J7" s="66"/>
      <c r="K7" s="66"/>
      <c r="L7" s="66"/>
      <c r="M7" s="66"/>
      <c r="N7" s="66"/>
      <c r="O7" s="66"/>
      <c r="P7" s="66"/>
    </row>
    <row r="8" spans="1:16">
      <c r="A8" s="568"/>
      <c r="B8" s="572"/>
      <c r="C8" s="66"/>
      <c r="D8" s="572"/>
      <c r="E8" s="572"/>
      <c r="F8" s="66"/>
      <c r="G8" s="572"/>
      <c r="H8" s="572"/>
      <c r="I8" s="66"/>
      <c r="J8" s="66"/>
      <c r="K8" s="66"/>
      <c r="L8" s="66"/>
      <c r="M8" s="66"/>
      <c r="N8" s="66"/>
      <c r="O8" s="66"/>
      <c r="P8" s="66"/>
    </row>
    <row r="9" spans="1:16">
      <c r="B9" s="572"/>
      <c r="C9" s="66"/>
      <c r="D9" s="572"/>
      <c r="E9" s="572"/>
      <c r="F9" s="66"/>
      <c r="G9" s="572"/>
      <c r="H9" s="572"/>
      <c r="I9" s="66"/>
      <c r="J9" s="66"/>
      <c r="K9" s="66"/>
      <c r="L9" s="66"/>
      <c r="M9" s="66"/>
      <c r="N9" s="66"/>
      <c r="O9" s="66"/>
      <c r="P9" s="66"/>
    </row>
    <row r="10" spans="1:16">
      <c r="B10" s="572"/>
      <c r="C10" s="66"/>
      <c r="D10" s="572"/>
      <c r="E10" s="572"/>
      <c r="F10" s="66"/>
      <c r="G10" s="572"/>
      <c r="H10" s="572"/>
      <c r="I10" s="66"/>
      <c r="J10" s="66"/>
      <c r="K10" s="66"/>
      <c r="L10" s="66"/>
      <c r="M10" s="66"/>
      <c r="N10" s="66"/>
      <c r="O10" s="66"/>
      <c r="P10" s="66"/>
    </row>
    <row r="11" spans="1:16">
      <c r="B11" s="572"/>
      <c r="C11" s="66"/>
      <c r="D11" s="572"/>
      <c r="E11" s="572"/>
      <c r="F11" s="66"/>
      <c r="G11" s="572"/>
      <c r="H11" s="572"/>
      <c r="I11" s="66"/>
      <c r="J11" s="66"/>
      <c r="K11" s="66"/>
      <c r="L11" s="66"/>
      <c r="M11" s="66"/>
      <c r="N11" s="66"/>
      <c r="O11" s="66"/>
      <c r="P11" s="66"/>
    </row>
    <row r="12" spans="1:16">
      <c r="B12" s="572"/>
      <c r="C12" s="66"/>
      <c r="D12" s="572"/>
      <c r="E12" s="572"/>
      <c r="F12" s="66"/>
      <c r="G12" s="572"/>
      <c r="H12" s="572"/>
      <c r="I12" s="66"/>
      <c r="J12" s="66"/>
      <c r="K12" s="66"/>
      <c r="L12" s="66"/>
      <c r="M12" s="66"/>
      <c r="N12" s="66"/>
      <c r="O12" s="66"/>
      <c r="P12" s="66"/>
    </row>
    <row r="13" spans="1:16">
      <c r="B13" s="572"/>
      <c r="C13" s="66"/>
      <c r="D13" s="572"/>
      <c r="E13" s="572"/>
      <c r="F13" s="66"/>
      <c r="G13" s="572"/>
      <c r="H13" s="572"/>
      <c r="I13" s="66"/>
      <c r="J13" s="66"/>
      <c r="K13" s="66"/>
      <c r="L13" s="66"/>
      <c r="M13" s="66"/>
      <c r="N13" s="66"/>
      <c r="O13" s="66"/>
      <c r="P13" s="66"/>
    </row>
    <row r="14" spans="1:16">
      <c r="B14" s="572"/>
      <c r="C14" s="66"/>
      <c r="D14" s="572"/>
      <c r="E14" s="572"/>
      <c r="F14" s="66"/>
      <c r="G14" s="572"/>
      <c r="H14" s="572"/>
      <c r="I14" s="66"/>
      <c r="J14" s="66"/>
      <c r="K14" s="66"/>
      <c r="L14" s="66"/>
      <c r="M14" s="66"/>
      <c r="N14" s="66"/>
      <c r="O14" s="66"/>
      <c r="P14" s="66"/>
    </row>
    <row r="15" spans="1:16">
      <c r="B15" s="572"/>
      <c r="C15" s="66"/>
      <c r="D15" s="572"/>
      <c r="E15" s="572"/>
      <c r="F15" s="66"/>
      <c r="G15" s="572"/>
      <c r="H15" s="572"/>
      <c r="I15" s="66"/>
      <c r="J15" s="66"/>
      <c r="K15" s="66"/>
      <c r="L15" s="66"/>
      <c r="M15" s="66"/>
      <c r="N15" s="66"/>
      <c r="O15" s="66"/>
      <c r="P15" s="66"/>
    </row>
    <row r="16" spans="1:16">
      <c r="B16" s="572"/>
      <c r="C16" s="66"/>
      <c r="D16" s="572"/>
      <c r="E16" s="572"/>
      <c r="F16" s="66"/>
      <c r="G16" s="572"/>
      <c r="H16" s="572"/>
      <c r="I16" s="66"/>
      <c r="J16" s="66"/>
      <c r="K16" s="66"/>
      <c r="L16" s="66"/>
      <c r="M16" s="66"/>
      <c r="N16" s="66"/>
      <c r="O16" s="66"/>
      <c r="P16" s="66"/>
    </row>
    <row r="17" spans="1:16">
      <c r="B17" s="572"/>
      <c r="C17" s="66"/>
      <c r="D17" s="572"/>
      <c r="E17" s="572"/>
      <c r="F17" s="66"/>
      <c r="G17" s="572"/>
      <c r="H17" s="572"/>
      <c r="I17" s="66"/>
      <c r="J17" s="66"/>
      <c r="K17" s="66"/>
      <c r="L17" s="66"/>
      <c r="M17" s="66"/>
      <c r="N17" s="66"/>
      <c r="O17" s="66"/>
      <c r="P17" s="66"/>
    </row>
    <row r="18" spans="1:16">
      <c r="B18" s="572"/>
      <c r="C18" s="66"/>
      <c r="D18" s="572"/>
      <c r="E18" s="572"/>
      <c r="F18" s="66"/>
      <c r="G18" s="572"/>
      <c r="H18" s="572"/>
      <c r="I18" s="66"/>
      <c r="J18" s="66"/>
      <c r="K18" s="66"/>
      <c r="L18" s="66"/>
      <c r="M18" s="66"/>
      <c r="N18" s="66"/>
      <c r="O18" s="66"/>
      <c r="P18" s="66"/>
    </row>
    <row r="19" spans="1:16">
      <c r="B19" s="572"/>
      <c r="C19" s="66"/>
      <c r="D19" s="572"/>
      <c r="E19" s="572"/>
      <c r="F19" s="66"/>
      <c r="G19" s="572"/>
      <c r="H19" s="572"/>
      <c r="I19" s="66"/>
      <c r="J19" s="66"/>
      <c r="K19" s="66"/>
      <c r="L19" s="66"/>
      <c r="M19" s="66"/>
      <c r="N19" s="66"/>
      <c r="O19" s="66"/>
      <c r="P19" s="66"/>
    </row>
    <row r="20" spans="1:16">
      <c r="B20" s="572"/>
      <c r="C20" s="66"/>
      <c r="D20" s="572"/>
      <c r="E20" s="572"/>
      <c r="F20" s="66"/>
      <c r="G20" s="572"/>
      <c r="H20" s="572"/>
      <c r="I20" s="66"/>
      <c r="J20" s="66"/>
      <c r="K20" s="66"/>
      <c r="L20" s="66"/>
      <c r="M20" s="66"/>
      <c r="N20" s="66"/>
      <c r="O20" s="66"/>
      <c r="P20" s="66"/>
    </row>
    <row r="21" spans="1:16">
      <c r="B21" s="572"/>
      <c r="C21" s="66"/>
      <c r="D21" s="572"/>
      <c r="E21" s="572"/>
      <c r="F21" s="66"/>
      <c r="G21" s="572"/>
      <c r="H21" s="572"/>
      <c r="I21" s="66"/>
      <c r="J21" s="66"/>
      <c r="K21" s="66"/>
      <c r="L21" s="66"/>
      <c r="M21" s="66"/>
      <c r="N21" s="66"/>
      <c r="O21" s="66"/>
      <c r="P21" s="66"/>
    </row>
    <row r="22" spans="1:16">
      <c r="B22" s="572"/>
      <c r="C22" s="66"/>
      <c r="D22" s="572"/>
      <c r="E22" s="572"/>
      <c r="F22" s="66"/>
      <c r="G22" s="572"/>
      <c r="H22" s="572"/>
      <c r="I22" s="66"/>
      <c r="J22" s="66"/>
      <c r="K22" s="66"/>
      <c r="L22" s="66"/>
      <c r="M22" s="66"/>
      <c r="N22" s="66"/>
      <c r="O22" s="66"/>
      <c r="P22" s="66"/>
    </row>
    <row r="23" spans="1:16" ht="15.75" thickBot="1">
      <c r="B23" s="572"/>
      <c r="C23" s="66"/>
      <c r="D23" s="572"/>
      <c r="E23" s="572"/>
      <c r="F23" s="66"/>
      <c r="G23" s="572"/>
      <c r="H23" s="572"/>
      <c r="I23" s="66"/>
      <c r="J23" s="66"/>
      <c r="K23" s="66"/>
      <c r="L23" s="66"/>
      <c r="M23" s="66"/>
      <c r="N23" s="66"/>
      <c r="O23" s="66"/>
      <c r="P23" s="66"/>
    </row>
    <row r="24" spans="1:16" ht="15.75" thickBot="1">
      <c r="A24" s="575" t="s">
        <v>684</v>
      </c>
    </row>
    <row r="26" spans="1:16" s="568" customFormat="1">
      <c r="A26" s="577" t="s">
        <v>626</v>
      </c>
      <c r="B26" s="577">
        <f t="shared" ref="B26:H26" si="0">SUM(B4:B23)</f>
        <v>0</v>
      </c>
      <c r="C26" s="577"/>
      <c r="D26" s="577">
        <f t="shared" si="0"/>
        <v>0</v>
      </c>
      <c r="E26" s="577">
        <f t="shared" si="0"/>
        <v>56.267056850603758</v>
      </c>
      <c r="F26" s="577"/>
      <c r="G26" s="577">
        <f t="shared" si="0"/>
        <v>327.88452098768346</v>
      </c>
      <c r="H26" s="577">
        <f t="shared" si="0"/>
        <v>40.526913156461553</v>
      </c>
      <c r="I26" s="577"/>
      <c r="J26" s="577"/>
      <c r="K26" s="577"/>
      <c r="L26" s="577"/>
      <c r="M26" s="577"/>
      <c r="N26" s="577"/>
      <c r="O26" s="577"/>
      <c r="P26" s="577"/>
    </row>
    <row r="27" spans="1:16" s="568" customFormat="1">
      <c r="A27" s="577" t="s">
        <v>703</v>
      </c>
      <c r="B27" s="577">
        <f>B26</f>
        <v>0</v>
      </c>
      <c r="C27" s="577"/>
      <c r="D27" s="577">
        <f>D26</f>
        <v>0</v>
      </c>
      <c r="E27" s="577">
        <f>E26</f>
        <v>56.267056850603758</v>
      </c>
      <c r="F27" s="577"/>
      <c r="G27" s="577">
        <f>(1-transport!C39)*'Eigen vloot'!G26</f>
        <v>314.96830029037699</v>
      </c>
      <c r="H27" s="577">
        <f>(1-transport!C46)*'Eigen vloot'!H26</f>
        <v>38.887192530196224</v>
      </c>
      <c r="I27" s="577"/>
      <c r="J27" s="577"/>
      <c r="K27" s="577"/>
      <c r="L27" s="577"/>
      <c r="M27" s="798">
        <f>G26*transport!C39+'Eigen vloot'!H26*transport!C46</f>
        <v>14.555941323571833</v>
      </c>
      <c r="N27" s="577"/>
      <c r="O27" s="577"/>
      <c r="P27" s="577"/>
    </row>
    <row r="29" spans="1:16">
      <c r="A29" s="583" t="s">
        <v>712</v>
      </c>
      <c r="B29" s="609">
        <f ca="1">'EF ele_warmte'!B12</f>
        <v>0.20531165224649006</v>
      </c>
      <c r="C29" s="609">
        <f ca="1">'EF ele_warmte'!B22</f>
        <v>0</v>
      </c>
      <c r="D29" s="609">
        <f>EF_CO2_aardgas</f>
        <v>0.20200000000000001</v>
      </c>
      <c r="E29" s="609">
        <f>EF_VLgas_CO2</f>
        <v>0.22700000000000001</v>
      </c>
      <c r="F29" s="609">
        <f>EF_stookolie_CO2</f>
        <v>0.26700000000000002</v>
      </c>
      <c r="G29" s="609">
        <f>EF_diesel_CO2</f>
        <v>0.26700000000000002</v>
      </c>
      <c r="H29" s="609">
        <f>EF_benzine_CO2</f>
        <v>0.249</v>
      </c>
      <c r="I29" s="609">
        <f>EF_bruinkool_CO2</f>
        <v>0.35099999999999998</v>
      </c>
      <c r="J29" s="609">
        <f>EF_steenkool_CO2</f>
        <v>0.35399999999999998</v>
      </c>
      <c r="K29" s="609">
        <f>EF_anderfossiel_CO2</f>
        <v>0.26400000000000001</v>
      </c>
      <c r="L29" s="609">
        <f>'EF brandstof'!J4</f>
        <v>0</v>
      </c>
      <c r="M29" s="609">
        <f>'EF brandstof'!K4</f>
        <v>0</v>
      </c>
      <c r="N29" s="609">
        <f>'EF brandstof'!L4</f>
        <v>0</v>
      </c>
      <c r="O29" s="609">
        <v>0</v>
      </c>
      <c r="P29" s="609">
        <v>0</v>
      </c>
    </row>
    <row r="31" spans="1:16">
      <c r="A31" s="577" t="s">
        <v>219</v>
      </c>
      <c r="B31" s="799">
        <f ca="1">B27*B29</f>
        <v>0</v>
      </c>
      <c r="C31" s="799"/>
      <c r="D31" s="799">
        <f>D27*D29</f>
        <v>0</v>
      </c>
      <c r="E31" s="799">
        <f>E27*E29</f>
        <v>12.772621905087053</v>
      </c>
      <c r="F31" s="799"/>
      <c r="G31" s="799">
        <f>G27*G29</f>
        <v>84.096536177530666</v>
      </c>
      <c r="H31" s="799">
        <f>H27*H29</f>
        <v>9.6829109400188589</v>
      </c>
      <c r="I31" s="799"/>
      <c r="J31" s="799"/>
      <c r="K31" s="799"/>
      <c r="L31" s="799"/>
      <c r="M31" s="799">
        <f>M27*M29</f>
        <v>0</v>
      </c>
      <c r="N31" s="607"/>
      <c r="O31" s="607"/>
      <c r="P31" s="60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63"/>
  <sheetViews>
    <sheetView showGridLines="0" topLeftCell="A7" workbookViewId="0">
      <selection activeCell="B68" sqref="B68"/>
    </sheetView>
  </sheetViews>
  <sheetFormatPr defaultRowHeight="15"/>
  <cols>
    <col min="1" max="1" width="54" bestFit="1" customWidth="1"/>
    <col min="2" max="2" width="26" style="554" bestFit="1" customWidth="1"/>
    <col min="3" max="3" width="26" customWidth="1"/>
    <col min="4" max="4" width="69.42578125" customWidth="1"/>
  </cols>
  <sheetData>
    <row r="1" spans="1:11" s="56" customFormat="1" ht="15.75" thickBot="1">
      <c r="B1" s="556"/>
    </row>
    <row r="2" spans="1:11" s="56" customFormat="1">
      <c r="A2" s="202" t="s">
        <v>623</v>
      </c>
      <c r="B2" s="610"/>
      <c r="C2" s="203"/>
      <c r="D2" s="204"/>
    </row>
    <row r="3" spans="1:11">
      <c r="A3" s="116"/>
      <c r="B3" s="611"/>
      <c r="C3" s="157" t="s">
        <v>188</v>
      </c>
      <c r="D3" s="160" t="s">
        <v>431</v>
      </c>
    </row>
    <row r="4" spans="1:11">
      <c r="A4" s="57" t="s">
        <v>522</v>
      </c>
      <c r="B4" s="60"/>
      <c r="C4" s="43"/>
      <c r="D4" s="159" t="s">
        <v>433</v>
      </c>
    </row>
    <row r="5" spans="1:11">
      <c r="A5" s="57"/>
      <c r="B5" s="61"/>
      <c r="C5" s="43"/>
      <c r="D5" s="159"/>
    </row>
    <row r="6" spans="1:11" s="21" customFormat="1" ht="21.75" thickBot="1">
      <c r="A6" s="207" t="s">
        <v>562</v>
      </c>
      <c r="B6" s="612"/>
      <c r="C6" s="208"/>
      <c r="D6" s="209"/>
    </row>
    <row r="7" spans="1:11" s="56" customFormat="1" ht="15.75" thickBot="1">
      <c r="B7" s="556"/>
    </row>
    <row r="8" spans="1:11" s="56" customFormat="1">
      <c r="A8" s="202" t="s">
        <v>636</v>
      </c>
      <c r="B8" s="610"/>
      <c r="C8" s="203"/>
      <c r="D8" s="204"/>
    </row>
    <row r="9" spans="1:11" s="43" customFormat="1">
      <c r="A9" s="59"/>
      <c r="B9" s="613"/>
      <c r="C9" s="55"/>
      <c r="D9" s="350"/>
    </row>
    <row r="10" spans="1:11">
      <c r="A10" s="351" t="s">
        <v>672</v>
      </c>
      <c r="B10" s="611"/>
      <c r="C10" s="157" t="s">
        <v>188</v>
      </c>
      <c r="D10" s="160" t="s">
        <v>431</v>
      </c>
      <c r="I10" s="1083"/>
      <c r="K10" s="73"/>
    </row>
    <row r="11" spans="1:11" s="56" customFormat="1">
      <c r="A11" s="57" t="s">
        <v>673</v>
      </c>
      <c r="B11" s="60"/>
      <c r="D11" s="158" t="s">
        <v>432</v>
      </c>
      <c r="I11" s="1083"/>
      <c r="K11" s="73"/>
    </row>
    <row r="12" spans="1:11" s="56" customFormat="1">
      <c r="A12" s="57" t="s">
        <v>674</v>
      </c>
      <c r="B12" s="60"/>
      <c r="D12" s="158" t="s">
        <v>432</v>
      </c>
      <c r="I12" s="1083"/>
      <c r="K12" s="73"/>
    </row>
    <row r="13" spans="1:11" s="56" customFormat="1">
      <c r="A13" s="57"/>
      <c r="B13" s="556"/>
      <c r="D13" s="111"/>
      <c r="I13" s="1083"/>
    </row>
    <row r="14" spans="1:11" s="56" customFormat="1">
      <c r="A14" s="351" t="s">
        <v>671</v>
      </c>
      <c r="B14" s="611"/>
      <c r="C14" s="157" t="s">
        <v>188</v>
      </c>
      <c r="D14" s="160" t="s">
        <v>431</v>
      </c>
      <c r="I14" s="1083"/>
    </row>
    <row r="15" spans="1:11" s="56" customFormat="1">
      <c r="A15" s="57" t="s">
        <v>74</v>
      </c>
      <c r="B15" s="60"/>
      <c r="D15" s="158" t="s">
        <v>432</v>
      </c>
      <c r="I15" s="1083"/>
      <c r="J15" s="1083"/>
    </row>
    <row r="16" spans="1:11" s="56" customFormat="1">
      <c r="A16" s="57" t="s">
        <v>628</v>
      </c>
      <c r="B16" s="60"/>
      <c r="D16" s="158" t="s">
        <v>432</v>
      </c>
      <c r="I16" s="1083"/>
      <c r="J16" s="1083"/>
    </row>
    <row r="17" spans="1:11" s="56" customFormat="1">
      <c r="A17" s="57" t="s">
        <v>81</v>
      </c>
      <c r="B17" s="60"/>
      <c r="D17" s="158" t="s">
        <v>432</v>
      </c>
      <c r="I17" s="1083"/>
      <c r="J17" s="1083"/>
    </row>
    <row r="18" spans="1:11" s="56" customFormat="1">
      <c r="A18" s="57" t="s">
        <v>629</v>
      </c>
      <c r="B18" s="60"/>
      <c r="D18" s="158" t="s">
        <v>432</v>
      </c>
      <c r="I18" s="1083"/>
      <c r="J18" s="1083"/>
      <c r="K18" s="73"/>
    </row>
    <row r="19" spans="1:11" s="56" customFormat="1">
      <c r="A19" s="57" t="s">
        <v>80</v>
      </c>
      <c r="B19" s="60"/>
      <c r="D19" s="158" t="s">
        <v>432</v>
      </c>
      <c r="I19" s="1083"/>
      <c r="J19" s="1084"/>
      <c r="K19" s="73"/>
    </row>
    <row r="20" spans="1:11" s="56" customFormat="1">
      <c r="A20" s="43" t="s">
        <v>630</v>
      </c>
      <c r="B20" s="60"/>
      <c r="D20" s="158" t="s">
        <v>432</v>
      </c>
      <c r="I20" s="352"/>
      <c r="J20" s="353"/>
      <c r="K20" s="73"/>
    </row>
    <row r="21" spans="1:11" s="56" customFormat="1">
      <c r="A21" s="43" t="s">
        <v>631</v>
      </c>
      <c r="B21" s="60"/>
      <c r="D21" s="158" t="s">
        <v>432</v>
      </c>
      <c r="I21" s="352"/>
      <c r="J21" s="353"/>
      <c r="K21" s="73"/>
    </row>
    <row r="22" spans="1:11" s="56" customFormat="1">
      <c r="A22" s="43" t="s">
        <v>632</v>
      </c>
      <c r="B22" s="60"/>
      <c r="D22" s="158" t="s">
        <v>432</v>
      </c>
      <c r="I22" s="352"/>
      <c r="J22" s="353"/>
      <c r="K22" s="73"/>
    </row>
    <row r="23" spans="1:11">
      <c r="A23" s="43" t="s">
        <v>633</v>
      </c>
      <c r="B23" s="60"/>
      <c r="C23" s="56"/>
      <c r="D23" s="158" t="s">
        <v>432</v>
      </c>
      <c r="I23" s="73"/>
      <c r="J23" s="73"/>
      <c r="K23" s="73"/>
    </row>
    <row r="24" spans="1:11">
      <c r="A24" s="43" t="s">
        <v>634</v>
      </c>
      <c r="B24" s="60"/>
      <c r="C24" s="56"/>
      <c r="D24" s="158" t="s">
        <v>432</v>
      </c>
      <c r="I24" s="73"/>
      <c r="J24" s="73"/>
      <c r="K24" s="73"/>
    </row>
    <row r="25" spans="1:11">
      <c r="A25" s="73"/>
      <c r="B25" s="61"/>
      <c r="C25" s="56"/>
      <c r="D25" s="158"/>
      <c r="I25" s="73"/>
      <c r="J25" s="73"/>
      <c r="K25" s="73"/>
    </row>
    <row r="26" spans="1:11" ht="21.75" thickBot="1">
      <c r="A26" s="207" t="s">
        <v>682</v>
      </c>
      <c r="B26" s="614"/>
      <c r="C26" s="123"/>
      <c r="D26" s="124"/>
      <c r="I26" s="73"/>
      <c r="J26" s="73"/>
      <c r="K26" s="73"/>
    </row>
    <row r="28" spans="1:11" ht="15.75" thickBot="1"/>
    <row r="29" spans="1:11" s="56" customFormat="1">
      <c r="A29" s="202" t="s">
        <v>624</v>
      </c>
      <c r="B29" s="610"/>
      <c r="C29" s="203"/>
      <c r="D29" s="204"/>
    </row>
    <row r="30" spans="1:11" s="43" customFormat="1">
      <c r="A30" s="59"/>
      <c r="B30" s="613"/>
      <c r="C30" s="55"/>
      <c r="D30" s="350"/>
    </row>
    <row r="31" spans="1:11">
      <c r="A31" s="351" t="s">
        <v>672</v>
      </c>
      <c r="B31" s="611"/>
      <c r="C31" s="157" t="s">
        <v>188</v>
      </c>
      <c r="D31" s="160" t="s">
        <v>431</v>
      </c>
    </row>
    <row r="32" spans="1:11">
      <c r="A32" s="544" t="s">
        <v>673</v>
      </c>
      <c r="B32" s="60"/>
      <c r="C32" s="61"/>
      <c r="D32" s="158" t="s">
        <v>432</v>
      </c>
    </row>
    <row r="33" spans="1:11">
      <c r="A33" s="57"/>
      <c r="B33" s="61"/>
      <c r="C33" s="61"/>
      <c r="D33" s="158"/>
    </row>
    <row r="34" spans="1:11" s="56" customFormat="1">
      <c r="A34" s="351" t="s">
        <v>671</v>
      </c>
      <c r="B34" s="611"/>
      <c r="C34" s="157" t="s">
        <v>188</v>
      </c>
      <c r="D34" s="160" t="s">
        <v>431</v>
      </c>
      <c r="I34"/>
    </row>
    <row r="35" spans="1:11" s="56" customFormat="1">
      <c r="A35" s="543" t="s">
        <v>74</v>
      </c>
      <c r="B35" s="60"/>
      <c r="D35" s="158" t="s">
        <v>432</v>
      </c>
      <c r="I35" s="1083"/>
      <c r="J35" s="1083"/>
    </row>
    <row r="36" spans="1:11" s="56" customFormat="1">
      <c r="A36" s="543" t="s">
        <v>628</v>
      </c>
      <c r="B36" s="60"/>
      <c r="D36" s="158" t="s">
        <v>432</v>
      </c>
      <c r="I36" s="1083"/>
      <c r="J36" s="1083"/>
    </row>
    <row r="37" spans="1:11" s="56" customFormat="1">
      <c r="A37" s="543" t="s">
        <v>81</v>
      </c>
      <c r="B37" s="60"/>
      <c r="D37" s="158" t="s">
        <v>432</v>
      </c>
      <c r="I37" s="1083"/>
      <c r="J37" s="1083"/>
    </row>
    <row r="38" spans="1:11" s="56" customFormat="1">
      <c r="A38" s="543" t="s">
        <v>629</v>
      </c>
      <c r="B38" s="60"/>
      <c r="D38" s="158" t="s">
        <v>432</v>
      </c>
      <c r="I38" s="1083"/>
      <c r="J38" s="1083"/>
      <c r="K38" s="73"/>
    </row>
    <row r="39" spans="1:11" s="56" customFormat="1">
      <c r="A39" s="543" t="s">
        <v>80</v>
      </c>
      <c r="B39" s="60"/>
      <c r="D39" s="158" t="s">
        <v>432</v>
      </c>
      <c r="I39" s="1083"/>
      <c r="J39" s="1084"/>
      <c r="K39" s="73"/>
    </row>
    <row r="40" spans="1:11" s="56" customFormat="1">
      <c r="A40" s="199" t="s">
        <v>630</v>
      </c>
      <c r="B40" s="60"/>
      <c r="D40" s="158" t="s">
        <v>432</v>
      </c>
      <c r="I40" s="352"/>
      <c r="J40" s="353"/>
      <c r="K40" s="73"/>
    </row>
    <row r="41" spans="1:11" s="56" customFormat="1">
      <c r="A41" s="199" t="s">
        <v>631</v>
      </c>
      <c r="B41" s="60"/>
      <c r="D41" s="158" t="s">
        <v>432</v>
      </c>
      <c r="I41" s="352"/>
      <c r="J41" s="353"/>
      <c r="K41" s="73"/>
    </row>
    <row r="42" spans="1:11" s="56" customFormat="1">
      <c r="A42" s="199" t="s">
        <v>632</v>
      </c>
      <c r="B42" s="60"/>
      <c r="D42" s="158" t="s">
        <v>432</v>
      </c>
      <c r="I42" s="352"/>
      <c r="J42" s="353"/>
      <c r="K42" s="73"/>
    </row>
    <row r="43" spans="1:11">
      <c r="A43" s="199" t="s">
        <v>633</v>
      </c>
      <c r="B43" s="60"/>
      <c r="C43" s="56"/>
      <c r="D43" s="158" t="s">
        <v>432</v>
      </c>
      <c r="I43" s="73"/>
      <c r="J43" s="73"/>
      <c r="K43" s="73"/>
    </row>
    <row r="44" spans="1:11">
      <c r="A44" s="199" t="s">
        <v>634</v>
      </c>
      <c r="B44" s="60"/>
      <c r="C44" s="56"/>
      <c r="D44" s="158" t="s">
        <v>432</v>
      </c>
      <c r="I44" s="73"/>
      <c r="J44" s="73"/>
      <c r="K44" s="73"/>
    </row>
    <row r="45" spans="1:11" s="26" customFormat="1" ht="21.75" thickBot="1">
      <c r="A45" s="207"/>
      <c r="B45" s="205"/>
      <c r="C45" s="171"/>
      <c r="D45" s="354"/>
      <c r="I45" s="73"/>
      <c r="J45" s="73"/>
      <c r="K45" s="73"/>
    </row>
    <row r="46" spans="1:11" s="26" customFormat="1">
      <c r="A46" s="73"/>
      <c r="B46" s="61"/>
      <c r="C46" s="43"/>
      <c r="D46" s="43"/>
      <c r="I46" s="73"/>
      <c r="J46" s="73"/>
      <c r="K46" s="73"/>
    </row>
    <row r="47" spans="1:11" ht="15.75" thickBot="1"/>
    <row r="48" spans="1:11" s="56" customFormat="1">
      <c r="A48" s="202" t="s">
        <v>430</v>
      </c>
      <c r="B48" s="610"/>
      <c r="C48" s="203"/>
      <c r="D48" s="204"/>
    </row>
    <row r="49" spans="1:4">
      <c r="A49" s="116"/>
      <c r="B49" s="611"/>
      <c r="C49" s="157" t="s">
        <v>188</v>
      </c>
      <c r="D49" s="160" t="s">
        <v>431</v>
      </c>
    </row>
    <row r="50" spans="1:4">
      <c r="A50" s="57" t="s">
        <v>675</v>
      </c>
      <c r="B50" s="60"/>
      <c r="C50" s="43"/>
      <c r="D50" s="159" t="s">
        <v>433</v>
      </c>
    </row>
    <row r="51" spans="1:4">
      <c r="A51" s="57" t="s">
        <v>676</v>
      </c>
      <c r="B51" s="60"/>
      <c r="C51" s="43"/>
      <c r="D51" s="159" t="s">
        <v>433</v>
      </c>
    </row>
    <row r="52" spans="1:4" ht="15.75" thickBot="1">
      <c r="A52" s="58"/>
      <c r="B52" s="205"/>
      <c r="C52" s="171"/>
      <c r="D52" s="210"/>
    </row>
    <row r="54" spans="1:4" ht="15.75" thickBot="1"/>
    <row r="55" spans="1:4" s="56" customFormat="1">
      <c r="A55" s="202" t="s">
        <v>625</v>
      </c>
      <c r="B55" s="610"/>
      <c r="C55" s="203"/>
      <c r="D55" s="204"/>
    </row>
    <row r="56" spans="1:4">
      <c r="A56" s="116"/>
      <c r="B56" s="611"/>
      <c r="C56" s="157" t="s">
        <v>188</v>
      </c>
      <c r="D56" s="160" t="s">
        <v>431</v>
      </c>
    </row>
    <row r="57" spans="1:4">
      <c r="A57" s="57" t="s">
        <v>677</v>
      </c>
      <c r="B57" s="60"/>
      <c r="C57" s="43"/>
      <c r="D57" s="158" t="s">
        <v>158</v>
      </c>
    </row>
    <row r="58" spans="1:4">
      <c r="A58" s="57" t="s">
        <v>678</v>
      </c>
      <c r="B58" s="60"/>
      <c r="C58" s="43"/>
      <c r="D58" s="158" t="s">
        <v>159</v>
      </c>
    </row>
    <row r="59" spans="1:4">
      <c r="A59" s="57" t="s">
        <v>679</v>
      </c>
      <c r="B59" s="60"/>
      <c r="C59" s="61"/>
      <c r="D59" s="158" t="s">
        <v>429</v>
      </c>
    </row>
    <row r="60" spans="1:4">
      <c r="A60" s="57" t="s">
        <v>680</v>
      </c>
      <c r="B60" s="60"/>
      <c r="C60" s="61"/>
      <c r="D60" s="158" t="s">
        <v>115</v>
      </c>
    </row>
    <row r="61" spans="1:4">
      <c r="A61" s="57"/>
      <c r="B61" s="61"/>
      <c r="C61" s="61"/>
      <c r="D61" s="158"/>
    </row>
    <row r="62" spans="1:4" ht="21.75" thickBot="1">
      <c r="A62" s="207" t="s">
        <v>627</v>
      </c>
      <c r="B62" s="205"/>
      <c r="C62" s="205"/>
      <c r="D62" s="206"/>
    </row>
    <row r="63" spans="1:4" s="56" customFormat="1">
      <c r="B63" s="556"/>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hyperlink ref="D58" location="tertiair!C5" display="tertiair"/>
    <hyperlink ref="D59" location="industrie!C5" display="industrie"/>
    <hyperlink ref="D60" location="landbouw!C5" display="landbouw"/>
    <hyperlink ref="D32" location="'lokale energieproductie'!B17" display="lokale energieproductie"/>
    <hyperlink ref="D50:D51" location="'EF ele_warmte'!B10" display="EF ele_warmte"/>
    <hyperlink ref="D50" location="'EF ele_warmte'!B18" display="EF ele_warmte"/>
    <hyperlink ref="D51" location="'EF ele_warmte'!B19" display="EF ele_warmte"/>
    <hyperlink ref="D4" location="'EF ele_warmte'!B5" display="EF ele_warmte"/>
    <hyperlink ref="D11" location="'lokale energieproductie'!B18" display="lokale energieproductie"/>
    <hyperlink ref="D12" location="'lokale energieproductie'!B8" display="lokale energieproductie"/>
    <hyperlink ref="D15" location="'lokale energieproductie'!A1" display="lokale energieproductie"/>
    <hyperlink ref="D17" location="'lokale energieproductie'!B18" display="lokale energieproductie"/>
    <hyperlink ref="D19" location="'lokale energieproductie'!B18" display="lokale energieproductie"/>
    <hyperlink ref="D21" location="'lokale energieproductie'!B18" display="lokale energieproductie"/>
    <hyperlink ref="D23" location="'lokale energieproductie'!B18" display="lokale energieproductie"/>
    <hyperlink ref="D16" location="'lokale energieproductie'!B8" display="lokale energieproductie"/>
    <hyperlink ref="D18" location="'lokale energieproductie'!B8" display="lokale energieproductie"/>
    <hyperlink ref="D20" location="'lokale energieproductie'!B8" display="lokale energieproductie"/>
    <hyperlink ref="D22" location="'lokale energieproductie'!B8" display="lokale energieproductie"/>
    <hyperlink ref="D24" location="'lokale energieproductie'!B8" display="lokale energieproductie"/>
    <hyperlink ref="D35" location="'lokale energieproductie'!C17" display="lokale energieproductie"/>
    <hyperlink ref="D37" location="'lokale energieproductie'!E17" display="lokale energieproductie"/>
    <hyperlink ref="D39" location="'lokale energieproductie'!G17" display="lokale energieproductie"/>
    <hyperlink ref="D41" location="'lokale energieproductie'!I17" display="lokale energieproductie"/>
    <hyperlink ref="D43" location="'lokale energieproductie'!K17" display="lokale energieproductie"/>
    <hyperlink ref="D36" location="'lokale energieproductie'!D17" display="lokale energieproductie"/>
    <hyperlink ref="D38" location="'lokale energieproductie'!F17" display="lokale energieproductie"/>
    <hyperlink ref="D40" location="'lokale energieproductie'!H17" display="lokale energieproductie"/>
    <hyperlink ref="D42" location="'lokale energieproductie'!J17" display="lokale energieproductie"/>
    <hyperlink ref="D44" location="'lokale energieproductie'!L17" display="lokale energieproducti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29</vt:i4>
      </vt:variant>
      <vt:variant>
        <vt:lpstr>Benoemde bereiken</vt:lpstr>
      </vt:variant>
      <vt:variant>
        <vt:i4>219</vt:i4>
      </vt:variant>
    </vt:vector>
  </HeadingPairs>
  <TitlesOfParts>
    <vt:vector size="248" baseType="lpstr">
      <vt:lpstr>LEGENDE</vt:lpstr>
      <vt:lpstr>OUTPUT--&gt;</vt:lpstr>
      <vt:lpstr>SEAP template</vt:lpstr>
      <vt:lpstr>Nulmeting 2011</vt:lpstr>
      <vt:lpstr>INPUT--&gt;</vt:lpstr>
      <vt:lpstr>Eigen gebouwen</vt:lpstr>
      <vt:lpstr>Eigen openbare verlichting</vt:lpstr>
      <vt:lpstr>Eigen vloot</vt:lpstr>
      <vt:lpstr>Eigen informatie GS &amp; warmtenet</vt:lpstr>
      <vt:lpstr>Conversiefactoren</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AantalFokvarkens_beren</vt:lpstr>
      <vt:lpstr>AantalFokvarkens_zeugen</vt:lpstr>
      <vt:lpstr>aantalGeiten</vt:lpstr>
      <vt:lpstr>aantalHuishouden2020</vt:lpstr>
      <vt:lpstr>aantalHuishoudens2011</vt:lpstr>
      <vt:lpstr>aantalMelkkoeien</vt:lpstr>
      <vt:lpstr>AantalMestvarkens_meer_dan_110kg</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aantalZB_NB_school</vt:lpstr>
      <vt:lpstr>aantalZB_NB_wonen</vt:lpstr>
      <vt:lpstr>aantalZB_NB_wonen_met_kantoor</vt:lpstr>
      <vt:lpstr>aantalZoogkoeien</vt:lpstr>
      <vt:lpstr>antalWP_NB_ander_met_kantoor</vt:lpstr>
      <vt:lpstr>ECF_PW_SW_CNG_CNG</vt:lpstr>
      <vt:lpstr>ECF_PW_SW_Diesel_Diesel</vt:lpstr>
      <vt:lpstr>EF_anderfossiel_CO2</vt:lpstr>
      <vt:lpstr>EF_benzine_CO2</vt:lpstr>
      <vt:lpstr>EF_bruinkool_CO2</vt:lpstr>
      <vt:lpstr>EF_CO2_aardgas</vt:lpstr>
      <vt:lpstr>EF_diesel_CO2</vt:lpstr>
      <vt:lpstr>EF_steenkool_CO2</vt:lpstr>
      <vt:lpstr>EF_stookolie_CO2</vt:lpstr>
      <vt:lpstr>EF_VLgas_CO2</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vkm_2011_bus</vt:lpstr>
      <vt:lpstr>vkm_2011_GW_LV</vt:lpstr>
      <vt:lpstr>vkm_2011_GW_PW</vt:lpstr>
      <vt:lpstr>vkm_2011_GW_ZV</vt:lpstr>
      <vt:lpstr>vkm_2011_NGW_LV</vt:lpstr>
      <vt:lpstr>vkm_2011_NGW_PW</vt:lpstr>
      <vt:lpstr>vkm_2011_NGW_ZV</vt:lpstr>
      <vt:lpstr>vkm_2011_SW_LV</vt:lpstr>
      <vt:lpstr>vkm_2011_SW_PW</vt:lpstr>
      <vt:lpstr>vkm_2011_SW_ZV</vt:lpstr>
      <vt:lpstr>vkm_2011_tram</vt:lpstr>
      <vt:lpstr>vkm_2020_bus</vt:lpstr>
      <vt:lpstr>vkm_2020_GW_LV</vt:lpstr>
      <vt:lpstr>vkm_2020_GW_PW</vt:lpstr>
      <vt:lpstr>vkm_2020_GW_ZV</vt:lpstr>
      <vt:lpstr>vkm_2020_NGW_LV</vt:lpstr>
      <vt:lpstr>vkm_2020_NGW_PW</vt:lpstr>
      <vt:lpstr>vkm_2020_NGW_ZV</vt:lpstr>
      <vt:lpstr>vkm_2020_SW_LV</vt:lpstr>
      <vt:lpstr>vkm_2020_SW_PW</vt:lpstr>
      <vt:lpstr>vkm_2020_SW_ZV</vt:lpstr>
      <vt:lpstr>vkm_2020_tram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Aagje Geerardyn</cp:lastModifiedBy>
  <dcterms:created xsi:type="dcterms:W3CDTF">2013-05-17T14:24:21Z</dcterms:created>
  <dcterms:modified xsi:type="dcterms:W3CDTF">2014-09-08T13:41:40Z</dcterms:modified>
</cp:coreProperties>
</file>